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eño\Desktop\"/>
    </mc:Choice>
  </mc:AlternateContent>
  <bookViews>
    <workbookView xWindow="0" yWindow="0" windowWidth="25125" windowHeight="13590" activeTab="1"/>
  </bookViews>
  <sheets>
    <sheet name=" SAL INT PA" sheetId="1" r:id="rId1"/>
    <sheet name="SAL INT TC" sheetId="7" r:id="rId2"/>
    <sheet name="TABUL" sheetId="5" r:id="rId3"/>
    <sheet name="ANTIG" sheetId="3" r:id="rId4"/>
    <sheet name="ISR" sheetId="2" r:id="rId5"/>
    <sheet name="SEG VIDA" sheetId="4" r:id="rId6"/>
    <sheet name="SGMM" sheetId="6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" l="1"/>
  <c r="I9" i="2"/>
  <c r="H9" i="2"/>
  <c r="G9" i="2"/>
  <c r="E33" i="7"/>
  <c r="I10" i="2"/>
  <c r="H10" i="2"/>
  <c r="G10" i="2"/>
  <c r="E11" i="7"/>
  <c r="E9" i="7"/>
  <c r="E8" i="7"/>
  <c r="E3" i="7"/>
  <c r="E4" i="7"/>
  <c r="E11" i="1"/>
  <c r="F11" i="1" s="1"/>
  <c r="E14" i="7"/>
  <c r="F14" i="7" s="1"/>
  <c r="E13" i="7"/>
  <c r="F31" i="7"/>
  <c r="F30" i="7"/>
  <c r="F28" i="7"/>
  <c r="F25" i="7"/>
  <c r="F24" i="7"/>
  <c r="E21" i="7"/>
  <c r="F15" i="7"/>
  <c r="F13" i="7"/>
  <c r="F11" i="7"/>
  <c r="F7" i="7"/>
  <c r="F6" i="7"/>
  <c r="F4" i="7"/>
  <c r="C14" i="4"/>
  <c r="C8" i="6"/>
  <c r="D8" i="6" s="1"/>
  <c r="H9" i="5"/>
  <c r="G9" i="5"/>
  <c r="D9" i="5"/>
  <c r="E3" i="1"/>
  <c r="F3" i="1" s="1"/>
  <c r="F18" i="1" s="1"/>
  <c r="E14" i="1"/>
  <c r="F14" i="1" s="1"/>
  <c r="F31" i="1"/>
  <c r="F30" i="1"/>
  <c r="F28" i="1"/>
  <c r="F25" i="1"/>
  <c r="F24" i="1"/>
  <c r="E21" i="1"/>
  <c r="C10" i="4"/>
  <c r="F15" i="1"/>
  <c r="F7" i="1"/>
  <c r="F4" i="1"/>
  <c r="E13" i="1"/>
  <c r="F13" i="1" s="1"/>
  <c r="E6" i="1"/>
  <c r="F6" i="1" s="1"/>
  <c r="E30" i="5"/>
  <c r="D32" i="5"/>
  <c r="E8" i="1" l="1"/>
  <c r="E9" i="1" s="1"/>
  <c r="F3" i="7"/>
  <c r="E29" i="7"/>
  <c r="F29" i="7" s="1"/>
  <c r="F8" i="7"/>
  <c r="E5" i="7"/>
  <c r="F5" i="7" s="1"/>
  <c r="E5" i="1"/>
  <c r="F5" i="1" s="1"/>
  <c r="E29" i="1"/>
  <c r="F29" i="1" s="1"/>
  <c r="F8" i="1"/>
  <c r="C5" i="6"/>
  <c r="C7" i="6" s="1"/>
  <c r="F18" i="7" l="1"/>
  <c r="E18" i="7" s="1"/>
  <c r="C11" i="4"/>
  <c r="C12" i="4" s="1"/>
  <c r="C13" i="4" s="1"/>
  <c r="F9" i="7" l="1"/>
  <c r="D21" i="7" s="1"/>
  <c r="E10" i="7"/>
  <c r="F10" i="7" s="1"/>
  <c r="F9" i="1"/>
  <c r="E10" i="1"/>
  <c r="E12" i="7" l="1"/>
  <c r="F12" i="7" s="1"/>
  <c r="F10" i="1"/>
  <c r="E12" i="1"/>
  <c r="F12" i="1" s="1"/>
  <c r="E18" i="1" s="1"/>
  <c r="D21" i="1"/>
  <c r="D22" i="1" l="1"/>
  <c r="E22" i="1" s="1"/>
  <c r="D23" i="1"/>
  <c r="E23" i="1" s="1"/>
  <c r="F23" i="1" s="1"/>
  <c r="E16" i="7"/>
  <c r="F16" i="7" s="1"/>
  <c r="D22" i="7"/>
  <c r="E22" i="7" s="1"/>
  <c r="D23" i="7"/>
  <c r="E23" i="7" s="1"/>
  <c r="F23" i="7" s="1"/>
  <c r="E16" i="1"/>
  <c r="E26" i="7" l="1"/>
  <c r="F26" i="7" s="1"/>
  <c r="E27" i="7"/>
  <c r="F27" i="7" s="1"/>
  <c r="F22" i="7"/>
  <c r="F16" i="1"/>
  <c r="E27" i="1"/>
  <c r="F27" i="1" s="1"/>
  <c r="E26" i="1"/>
  <c r="F26" i="1" s="1"/>
  <c r="F22" i="1"/>
  <c r="E32" i="7" l="1"/>
  <c r="F32" i="7" s="1"/>
  <c r="F33" i="7" s="1"/>
  <c r="E32" i="1"/>
  <c r="F32" i="1" s="1"/>
  <c r="F33" i="1" s="1"/>
</calcChain>
</file>

<file path=xl/sharedStrings.xml><?xml version="1.0" encoding="utf-8"?>
<sst xmlns="http://schemas.openxmlformats.org/spreadsheetml/2006/main" count="274" uniqueCount="121">
  <si>
    <t>Nivelación Salarial</t>
  </si>
  <si>
    <t>Rezonificación</t>
  </si>
  <si>
    <t>Prima de Material Didáctico</t>
  </si>
  <si>
    <t>Complemento de Antigüedad</t>
  </si>
  <si>
    <t>Despensa</t>
  </si>
  <si>
    <t>Complemento de Material Didáctico</t>
  </si>
  <si>
    <t>Salario Tabular</t>
  </si>
  <si>
    <t>Sobrecarga</t>
  </si>
  <si>
    <t>2 Bis</t>
  </si>
  <si>
    <t>10 Bis</t>
  </si>
  <si>
    <t>Complementos</t>
  </si>
  <si>
    <t>Zona Cara</t>
  </si>
  <si>
    <t>Ayuda para gastos de Transportación</t>
  </si>
  <si>
    <t>Reconocimiento para PA por carga académica</t>
  </si>
  <si>
    <t>Otros Conceptos</t>
  </si>
  <si>
    <t>Total</t>
  </si>
  <si>
    <t>Salario Integrado</t>
  </si>
  <si>
    <t># de HSM</t>
  </si>
  <si>
    <t>Cantidad</t>
  </si>
  <si>
    <t>Comentario</t>
  </si>
  <si>
    <t>Ver Tabulador vigente</t>
  </si>
  <si>
    <t>Para personal de Santa Ana a Navojoa, 1% de la suma de 1 y 2</t>
  </si>
  <si>
    <t>Por actividades administrativas o comisiones</t>
  </si>
  <si>
    <t>Para PA con al menos 15 hsm, $29.30 por cada HSM</t>
  </si>
  <si>
    <t>Para personal académicos de Caborca y Nogales, 13.4% de la suma de 1,2,3,4 y 5</t>
  </si>
  <si>
    <t>6% de la suma de 1,2,2Bis,3,4,5 y 6</t>
  </si>
  <si>
    <t xml:space="preserve">Para personal académico de dpto. de Agricultura y Ganadería y campo exp. Bahía Kino, $1,806.60 </t>
  </si>
  <si>
    <t>Porcentaje según tabla aplicado a la suma de 1,2,2Bis,3,4,5,6,7,8</t>
  </si>
  <si>
    <t>Según se pacten bilateralmente</t>
  </si>
  <si>
    <t>Asistente</t>
  </si>
  <si>
    <t>Asociado "A"</t>
  </si>
  <si>
    <t>Asociado "B"</t>
  </si>
  <si>
    <t>Asociado "C"</t>
  </si>
  <si>
    <t>Asociado "D"</t>
  </si>
  <si>
    <t>Titular "A"</t>
  </si>
  <si>
    <t>Titular "B"</t>
  </si>
  <si>
    <t>Titular "C"</t>
  </si>
  <si>
    <t>Básico</t>
  </si>
  <si>
    <t>General "A"</t>
  </si>
  <si>
    <t>General "B"</t>
  </si>
  <si>
    <t>General "C"</t>
  </si>
  <si>
    <t>Especializado "A"</t>
  </si>
  <si>
    <t>Especializado "B"</t>
  </si>
  <si>
    <t>Categoría "A"</t>
  </si>
  <si>
    <t>Categoría "B" anterior</t>
  </si>
  <si>
    <t>Categoría "B"</t>
  </si>
  <si>
    <t>Categoría "C"</t>
  </si>
  <si>
    <t>Categoría "D"</t>
  </si>
  <si>
    <t>Categoría "P"</t>
  </si>
  <si>
    <t>TIEMPO COMPLETO</t>
  </si>
  <si>
    <t>MEDIO TIEMPO</t>
  </si>
  <si>
    <t>TÉCNICOS ACADÉMICOS</t>
  </si>
  <si>
    <t>HORAS SUELTAS</t>
  </si>
  <si>
    <t>TABULADOR DE SUELDOS 2021-2022</t>
  </si>
  <si>
    <t>Conceptos</t>
  </si>
  <si>
    <t>Descuentos</t>
  </si>
  <si>
    <t>ISR</t>
  </si>
  <si>
    <t>Fondo Pensiones Isssteson</t>
  </si>
  <si>
    <t>Servicio Médico y Seguro de vida Isssteson</t>
  </si>
  <si>
    <t xml:space="preserve">Seguro de Vida </t>
  </si>
  <si>
    <t>Seguro de Gastos Médicos Mayores</t>
  </si>
  <si>
    <t>Fondo Complementario de Pensiones</t>
  </si>
  <si>
    <t>Incentivo a la Jubilación</t>
  </si>
  <si>
    <t>Fondo de Ahorro Individual</t>
  </si>
  <si>
    <t>Fondo Económico de Ayuda Mutua</t>
  </si>
  <si>
    <t xml:space="preserve">Suma </t>
  </si>
  <si>
    <t>Límite inferior</t>
  </si>
  <si>
    <t>Límite superior</t>
  </si>
  <si>
    <t>Cuota fija</t>
  </si>
  <si>
    <t>Por ciento para aplicarse sobre el excedente del límite inferior</t>
  </si>
  <si>
    <t>$</t>
  </si>
  <si>
    <t>%</t>
  </si>
  <si>
    <t>En adelante</t>
  </si>
  <si>
    <t>Tablas ISR 2022: pagos quincenales</t>
  </si>
  <si>
    <t>10% de la suma de 1,2Bis,3,5,6,7 y 9</t>
  </si>
  <si>
    <t>Según decisión individual</t>
  </si>
  <si>
    <t>1% del salario tabular a miembros del STAUS</t>
  </si>
  <si>
    <t xml:space="preserve">30% del costo de la póliza distribuido equitativamente entre los afiliados a la póliza </t>
  </si>
  <si>
    <t>Costo de la póliza menos la aportación de UNISON y STAUS distribuido equitativamente entre afiliados a la póliza</t>
  </si>
  <si>
    <t xml:space="preserve">2.5% del salario integrado </t>
  </si>
  <si>
    <t>Ver Tablas ISR 2022: pagos quincenales</t>
  </si>
  <si>
    <t>Fondo Mutualista: $20 quincenales a miembros del STAUS</t>
  </si>
  <si>
    <t>Cuota Sindical ordinaria</t>
  </si>
  <si>
    <t>Para personal de carrera, hasta 4 HSM, se paga como nivel A a Asociados y nivel B a Titulares</t>
  </si>
  <si>
    <t>PTC</t>
  </si>
  <si>
    <t>PA</t>
  </si>
  <si>
    <t>Profesor de Asignatura</t>
  </si>
  <si>
    <t>TA</t>
  </si>
  <si>
    <t>Técnico Académico</t>
  </si>
  <si>
    <t>Impuesto Sobre la Renta</t>
  </si>
  <si>
    <t>AÑO</t>
  </si>
  <si>
    <t>TABLA COMPLEMENTO POR ANTIGÜEDAD</t>
  </si>
  <si>
    <t>para personal de carrera y PA con 25 HSM: $764.67, y porporcional a PA con menos de 25 HSM</t>
  </si>
  <si>
    <t>Para personal de carrera y PA con 25 HSM: $2,563.78, y porporcional a PA con menos de 25 HSM</t>
  </si>
  <si>
    <t>PRIMA TOTAL</t>
  </si>
  <si>
    <t>TOTAL AFILIADOS</t>
  </si>
  <si>
    <t>PAGO UNISON</t>
  </si>
  <si>
    <t>PAGO ACADÉMICOS</t>
  </si>
  <si>
    <t>PAGO INDIVIDUAL</t>
  </si>
  <si>
    <t>DESCUENTO QUINCENAL</t>
  </si>
  <si>
    <t>SEGURO DE VIDA 2022</t>
  </si>
  <si>
    <t>PRECIO TOTAL PÓLIZA SGMM TITULARES STAUS 2021-2022</t>
  </si>
  <si>
    <t>APORTACIÓN STAUS Y UNISON AL PAGO DE LA PÓLIZA DEL SGMM</t>
  </si>
  <si>
    <t>DIFERENCIA A PAGAR POR TITULARES STAUS</t>
  </si>
  <si>
    <t>TOTAL DE ACADÉMICOS EN LA PÓLIZA</t>
  </si>
  <si>
    <t>PAGO ANUAL INDIVIDUAL TITULARES STAUS 2021-2022</t>
  </si>
  <si>
    <t>DESCUENTO QUINCENAL INDIVIDUAL TITULARES STAUS 2021-2022</t>
  </si>
  <si>
    <t>SEGURO DE GASTOS MÉDICOS MAYORES TITULARES STAUS</t>
  </si>
  <si>
    <t>Profesor de Tiemp Completo</t>
  </si>
  <si>
    <t>2.5% de la suma de 1,2Bis,3,5,6,7 y 9, más 0.15% del salario mínimo mensual:$5274.28</t>
  </si>
  <si>
    <t>Salario Mínimo Mensual 2022</t>
  </si>
  <si>
    <t>Otros descuentos</t>
  </si>
  <si>
    <t>NOMENCLATURA</t>
  </si>
  <si>
    <t>0.75% del salario integrado al personal académico con 23 años o más de antigüedad al 3 de mayo de 2021</t>
  </si>
  <si>
    <t>QUINCENAL</t>
  </si>
  <si>
    <t>SUELDO BASE</t>
  </si>
  <si>
    <t>Para PTC y TA de Santa Ana a Navojoa 3.5%, para PA y MMT 2.0% de la suma de 1, 2, 3 y 4; Nogales y Caborca 1.5%</t>
  </si>
  <si>
    <t>DESCUENTO MENSUAL</t>
  </si>
  <si>
    <t>PROFESOR DE ASIGNATURA</t>
  </si>
  <si>
    <t>PROFESOR DE TIEMPO COMPLETO</t>
  </si>
  <si>
    <t>SALARIO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</si>
</sst>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3" formatCode="_-* #,##0.00_-;\-* #,##0.00_-;_-* &quot;-&quot;??_-;_-@_-"/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00008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4" fillId="0" borderId="0" xfId="0" applyFont="1"/>
    <xf numFmtId="0" fontId="2" fillId="8" borderId="5" xfId="0" applyFont="1" applyFill="1" applyBorder="1"/>
    <xf numFmtId="0" fontId="0" fillId="8" borderId="6" xfId="0" applyFill="1" applyBorder="1"/>
    <xf numFmtId="0" fontId="7" fillId="8" borderId="7" xfId="0" applyFont="1" applyFill="1" applyBorder="1"/>
    <xf numFmtId="0" fontId="2" fillId="8" borderId="7" xfId="0" applyFont="1" applyFill="1" applyBorder="1"/>
    <xf numFmtId="0" fontId="2" fillId="8" borderId="8" xfId="0" applyFont="1" applyFill="1" applyBorder="1"/>
    <xf numFmtId="0" fontId="2" fillId="2" borderId="5" xfId="0" applyFont="1" applyFill="1" applyBorder="1" applyAlignment="1">
      <alignment horizontal="right" vertical="center"/>
    </xf>
    <xf numFmtId="0" fontId="2" fillId="2" borderId="5" xfId="0" applyFont="1" applyFill="1" applyBorder="1"/>
    <xf numFmtId="0" fontId="5" fillId="2" borderId="5" xfId="0" applyFont="1" applyFill="1" applyBorder="1"/>
    <xf numFmtId="0" fontId="0" fillId="2" borderId="5" xfId="0" applyFill="1" applyBorder="1"/>
    <xf numFmtId="0" fontId="2" fillId="5" borderId="5" xfId="0" applyFont="1" applyFill="1" applyBorder="1"/>
    <xf numFmtId="43" fontId="0" fillId="0" borderId="0" xfId="0" applyNumberFormat="1"/>
    <xf numFmtId="43" fontId="2" fillId="0" borderId="0" xfId="1" applyFont="1"/>
    <xf numFmtId="0" fontId="2" fillId="9" borderId="5" xfId="0" applyFont="1" applyFill="1" applyBorder="1"/>
    <xf numFmtId="43" fontId="2" fillId="2" borderId="5" xfId="1" applyFont="1" applyFill="1" applyBorder="1"/>
    <xf numFmtId="43" fontId="2" fillId="2" borderId="5" xfId="0" applyNumberFormat="1" applyFont="1" applyFill="1" applyBorder="1"/>
    <xf numFmtId="43" fontId="2" fillId="4" borderId="5" xfId="0" applyNumberFormat="1" applyFont="1" applyFill="1" applyBorder="1"/>
    <xf numFmtId="0" fontId="4" fillId="8" borderId="2" xfId="0" applyFont="1" applyFill="1" applyBorder="1" applyAlignment="1">
      <alignment vertical="center" wrapText="1"/>
    </xf>
    <xf numFmtId="0" fontId="4" fillId="8" borderId="3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 wrapText="1"/>
    </xf>
    <xf numFmtId="4" fontId="5" fillId="2" borderId="3" xfId="0" applyNumberFormat="1" applyFont="1" applyFill="1" applyBorder="1" applyAlignment="1">
      <alignment horizontal="righ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4" fontId="5" fillId="2" borderId="2" xfId="0" applyNumberFormat="1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4" fontId="5" fillId="2" borderId="3" xfId="0" applyNumberFormat="1" applyFont="1" applyFill="1" applyBorder="1" applyAlignment="1">
      <alignment vertical="center" wrapText="1"/>
    </xf>
    <xf numFmtId="0" fontId="6" fillId="7" borderId="5" xfId="0" applyFont="1" applyFill="1" applyBorder="1"/>
    <xf numFmtId="0" fontId="3" fillId="7" borderId="5" xfId="0" applyFont="1" applyFill="1" applyBorder="1"/>
    <xf numFmtId="0" fontId="6" fillId="7" borderId="4" xfId="0" applyFont="1" applyFill="1" applyBorder="1" applyAlignment="1">
      <alignment vertical="center" wrapText="1"/>
    </xf>
    <xf numFmtId="0" fontId="3" fillId="7" borderId="0" xfId="0" applyFont="1" applyFill="1"/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wrapText="1"/>
    </xf>
    <xf numFmtId="43" fontId="2" fillId="9" borderId="5" xfId="1" applyFont="1" applyFill="1" applyBorder="1"/>
    <xf numFmtId="43" fontId="2" fillId="9" borderId="5" xfId="0" applyNumberFormat="1" applyFont="1" applyFill="1" applyBorder="1"/>
    <xf numFmtId="0" fontId="2" fillId="13" borderId="5" xfId="0" applyFont="1" applyFill="1" applyBorder="1"/>
    <xf numFmtId="0" fontId="10" fillId="3" borderId="5" xfId="0" applyFont="1" applyFill="1" applyBorder="1"/>
    <xf numFmtId="0" fontId="2" fillId="6" borderId="5" xfId="0" applyFont="1" applyFill="1" applyBorder="1"/>
    <xf numFmtId="43" fontId="2" fillId="6" borderId="5" xfId="1" applyFont="1" applyFill="1" applyBorder="1"/>
    <xf numFmtId="0" fontId="9" fillId="12" borderId="5" xfId="0" applyFont="1" applyFill="1" applyBorder="1"/>
    <xf numFmtId="0" fontId="10" fillId="12" borderId="5" xfId="0" applyFont="1" applyFill="1" applyBorder="1"/>
    <xf numFmtId="0" fontId="2" fillId="11" borderId="5" xfId="0" applyFont="1" applyFill="1" applyBorder="1"/>
    <xf numFmtId="0" fontId="5" fillId="11" borderId="5" xfId="0" applyFont="1" applyFill="1" applyBorder="1"/>
    <xf numFmtId="0" fontId="0" fillId="11" borderId="5" xfId="0" applyFill="1" applyBorder="1"/>
    <xf numFmtId="43" fontId="11" fillId="0" borderId="0" xfId="1" applyFont="1"/>
    <xf numFmtId="43" fontId="2" fillId="11" borderId="5" xfId="0" applyNumberFormat="1" applyFont="1" applyFill="1" applyBorder="1"/>
    <xf numFmtId="43" fontId="11" fillId="0" borderId="0" xfId="0" applyNumberFormat="1" applyFont="1"/>
    <xf numFmtId="43" fontId="2" fillId="11" borderId="5" xfId="1" applyFont="1" applyFill="1" applyBorder="1"/>
    <xf numFmtId="43" fontId="12" fillId="13" borderId="0" xfId="0" applyNumberFormat="1" applyFont="1" applyFill="1"/>
    <xf numFmtId="8" fontId="0" fillId="0" borderId="0" xfId="0" applyNumberFormat="1"/>
    <xf numFmtId="8" fontId="13" fillId="14" borderId="3" xfId="0" applyNumberFormat="1" applyFont="1" applyFill="1" applyBorder="1" applyAlignment="1">
      <alignment horizontal="right" vertical="center"/>
    </xf>
    <xf numFmtId="0" fontId="3" fillId="14" borderId="2" xfId="0" applyFont="1" applyFill="1" applyBorder="1" applyAlignment="1">
      <alignment vertical="center" wrapText="1"/>
    </xf>
    <xf numFmtId="0" fontId="2" fillId="14" borderId="5" xfId="0" applyFont="1" applyFill="1" applyBorder="1"/>
    <xf numFmtId="43" fontId="2" fillId="2" borderId="3" xfId="1" applyFont="1" applyFill="1" applyBorder="1" applyAlignment="1">
      <alignment horizontal="right" vertical="center" wrapText="1"/>
    </xf>
    <xf numFmtId="164" fontId="0" fillId="0" borderId="0" xfId="2" applyNumberFormat="1" applyFont="1"/>
    <xf numFmtId="43" fontId="0" fillId="0" borderId="0" xfId="1" applyFont="1"/>
    <xf numFmtId="43" fontId="2" fillId="13" borderId="5" xfId="0" applyNumberFormat="1" applyFont="1" applyFill="1" applyBorder="1"/>
    <xf numFmtId="0" fontId="2" fillId="0" borderId="0" xfId="0" applyFont="1" applyFill="1" applyBorder="1"/>
    <xf numFmtId="0" fontId="0" fillId="0" borderId="0" xfId="0" applyFill="1"/>
    <xf numFmtId="43" fontId="11" fillId="0" borderId="0" xfId="0" applyNumberFormat="1" applyFont="1" applyFill="1"/>
    <xf numFmtId="43" fontId="11" fillId="0" borderId="0" xfId="1" applyFont="1" applyFill="1"/>
    <xf numFmtId="0" fontId="0" fillId="14" borderId="5" xfId="0" applyFill="1" applyBorder="1"/>
    <xf numFmtId="43" fontId="11" fillId="4" borderId="5" xfId="0" applyNumberFormat="1" applyFont="1" applyFill="1" applyBorder="1"/>
    <xf numFmtId="43" fontId="2" fillId="13" borderId="5" xfId="1" applyFont="1" applyFill="1" applyBorder="1"/>
    <xf numFmtId="43" fontId="11" fillId="13" borderId="5" xfId="1" applyFont="1" applyFill="1" applyBorder="1"/>
    <xf numFmtId="8" fontId="2" fillId="2" borderId="5" xfId="0" applyNumberFormat="1" applyFont="1" applyFill="1" applyBorder="1"/>
    <xf numFmtId="8" fontId="2" fillId="2" borderId="3" xfId="1" applyNumberFormat="1" applyFont="1" applyFill="1" applyBorder="1" applyAlignment="1">
      <alignment horizontal="right" vertical="center" wrapText="1"/>
    </xf>
    <xf numFmtId="0" fontId="5" fillId="2" borderId="9" xfId="0" applyFont="1" applyFill="1" applyBorder="1" applyAlignment="1">
      <alignment horizontal="right" vertical="center" wrapText="1"/>
    </xf>
    <xf numFmtId="43" fontId="2" fillId="15" borderId="5" xfId="1" applyFont="1" applyFill="1" applyBorder="1"/>
    <xf numFmtId="0" fontId="2" fillId="15" borderId="5" xfId="0" applyFont="1" applyFill="1" applyBorder="1"/>
    <xf numFmtId="43" fontId="2" fillId="16" borderId="5" xfId="1" applyFont="1" applyFill="1" applyBorder="1"/>
    <xf numFmtId="43" fontId="2" fillId="16" borderId="5" xfId="0" applyNumberFormat="1" applyFont="1" applyFill="1" applyBorder="1"/>
    <xf numFmtId="0" fontId="2" fillId="16" borderId="5" xfId="0" applyFont="1" applyFill="1" applyBorder="1"/>
    <xf numFmtId="0" fontId="8" fillId="10" borderId="5" xfId="0" applyFont="1" applyFill="1" applyBorder="1" applyAlignment="1">
      <alignment horizontal="center"/>
    </xf>
    <xf numFmtId="0" fontId="9" fillId="10" borderId="5" xfId="0" applyFont="1" applyFill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10" fillId="7" borderId="5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</xdr:row>
      <xdr:rowOff>0</xdr:rowOff>
    </xdr:from>
    <xdr:to>
      <xdr:col>14</xdr:col>
      <xdr:colOff>674649</xdr:colOff>
      <xdr:row>54</xdr:row>
      <xdr:rowOff>75286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E98D206-72FC-4A67-BC77-A4AABCBB0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" y="3390900"/>
          <a:ext cx="13009524" cy="73142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9</xdr:row>
      <xdr:rowOff>190499</xdr:rowOff>
    </xdr:from>
    <xdr:to>
      <xdr:col>4</xdr:col>
      <xdr:colOff>371475</xdr:colOff>
      <xdr:row>30</xdr:row>
      <xdr:rowOff>28574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18082" t="10483" r="17383" b="21108"/>
        <a:stretch/>
      </xdr:blipFill>
      <xdr:spPr bwMode="auto">
        <a:xfrm>
          <a:off x="761999" y="2076449"/>
          <a:ext cx="8915401" cy="3838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G75"/>
  <sheetViews>
    <sheetView topLeftCell="A23" workbookViewId="0">
      <selection activeCell="C33" sqref="C33"/>
    </sheetView>
  </sheetViews>
  <sheetFormatPr baseColWidth="10" defaultRowHeight="15" x14ac:dyDescent="0.25"/>
  <cols>
    <col min="2" max="2" width="8.85546875" customWidth="1"/>
    <col min="3" max="3" width="57.28515625" customWidth="1"/>
    <col min="4" max="4" width="17.85546875" customWidth="1"/>
    <col min="5" max="5" width="18.28515625" customWidth="1"/>
    <col min="6" max="6" width="16.140625" customWidth="1"/>
    <col min="7" max="7" width="144" customWidth="1"/>
  </cols>
  <sheetData>
    <row r="1" spans="2:7" ht="15.75" thickBot="1" x14ac:dyDescent="0.3"/>
    <row r="2" spans="2:7" ht="18" x14ac:dyDescent="0.25">
      <c r="B2" s="4"/>
      <c r="C2" s="5" t="s">
        <v>54</v>
      </c>
      <c r="D2" s="6" t="s">
        <v>17</v>
      </c>
      <c r="E2" s="6" t="s">
        <v>18</v>
      </c>
      <c r="F2" s="6" t="s">
        <v>114</v>
      </c>
      <c r="G2" s="7" t="s">
        <v>19</v>
      </c>
    </row>
    <row r="3" spans="2:7" ht="18.75" thickBot="1" x14ac:dyDescent="0.3">
      <c r="B3" s="8">
        <v>1</v>
      </c>
      <c r="C3" s="9" t="s">
        <v>6</v>
      </c>
      <c r="D3" s="58">
        <v>25</v>
      </c>
      <c r="E3" s="59">
        <f>D3*D73</f>
        <v>16205.5</v>
      </c>
      <c r="F3" s="17">
        <f>E3/2</f>
        <v>8102.75</v>
      </c>
      <c r="G3" s="9" t="s">
        <v>20</v>
      </c>
    </row>
    <row r="4" spans="2:7" ht="18" x14ac:dyDescent="0.25">
      <c r="B4" s="8">
        <v>2</v>
      </c>
      <c r="C4" s="9" t="s">
        <v>7</v>
      </c>
      <c r="D4" s="12"/>
      <c r="E4" s="9">
        <v>0</v>
      </c>
      <c r="F4" s="17">
        <f t="shared" ref="F4:F16" si="0">E4/2</f>
        <v>0</v>
      </c>
      <c r="G4" s="9" t="s">
        <v>83</v>
      </c>
    </row>
    <row r="5" spans="2:7" ht="18" x14ac:dyDescent="0.25">
      <c r="B5" s="8" t="s">
        <v>8</v>
      </c>
      <c r="C5" s="9" t="s">
        <v>0</v>
      </c>
      <c r="D5" s="12"/>
      <c r="E5" s="17">
        <f>0.01*(E3+E4)</f>
        <v>162.05500000000001</v>
      </c>
      <c r="F5" s="17">
        <f t="shared" si="0"/>
        <v>81.027500000000003</v>
      </c>
      <c r="G5" s="9" t="s">
        <v>21</v>
      </c>
    </row>
    <row r="6" spans="2:7" ht="18" x14ac:dyDescent="0.25">
      <c r="B6" s="8">
        <v>3</v>
      </c>
      <c r="C6" s="10" t="s">
        <v>13</v>
      </c>
      <c r="D6" s="9">
        <v>25</v>
      </c>
      <c r="E6" s="9">
        <f>D6*29.3</f>
        <v>732.5</v>
      </c>
      <c r="F6" s="17">
        <f t="shared" si="0"/>
        <v>366.25</v>
      </c>
      <c r="G6" s="9" t="s">
        <v>23</v>
      </c>
    </row>
    <row r="7" spans="2:7" ht="18" x14ac:dyDescent="0.25">
      <c r="B7" s="8">
        <v>4</v>
      </c>
      <c r="C7" s="10" t="s">
        <v>10</v>
      </c>
      <c r="D7" s="12"/>
      <c r="E7" s="9">
        <v>0</v>
      </c>
      <c r="F7" s="17">
        <f t="shared" si="0"/>
        <v>0</v>
      </c>
      <c r="G7" s="9" t="s">
        <v>22</v>
      </c>
    </row>
    <row r="8" spans="2:7" ht="18" x14ac:dyDescent="0.25">
      <c r="B8" s="8">
        <v>5</v>
      </c>
      <c r="C8" s="9" t="s">
        <v>1</v>
      </c>
      <c r="D8" s="12"/>
      <c r="E8" s="17">
        <f>0.02*(E3+E4+E6+E7)</f>
        <v>338.76</v>
      </c>
      <c r="F8" s="17">
        <f t="shared" si="0"/>
        <v>169.38</v>
      </c>
      <c r="G8" s="9" t="s">
        <v>116</v>
      </c>
    </row>
    <row r="9" spans="2:7" ht="18" x14ac:dyDescent="0.25">
      <c r="B9" s="8">
        <v>6</v>
      </c>
      <c r="C9" s="9" t="s">
        <v>11</v>
      </c>
      <c r="D9" s="12"/>
      <c r="E9" s="17">
        <f>0.134*(E3+E4+E6+E7+E8)*0</f>
        <v>0</v>
      </c>
      <c r="F9" s="17">
        <f t="shared" si="0"/>
        <v>0</v>
      </c>
      <c r="G9" s="9" t="s">
        <v>24</v>
      </c>
    </row>
    <row r="10" spans="2:7" ht="18" x14ac:dyDescent="0.25">
      <c r="B10" s="8">
        <v>7</v>
      </c>
      <c r="C10" s="9" t="s">
        <v>2</v>
      </c>
      <c r="D10" s="12"/>
      <c r="E10" s="17">
        <f>0.06*(E3+E4+E5+E6+E7+E8+E9)</f>
        <v>1046.3289</v>
      </c>
      <c r="F10" s="17">
        <f t="shared" si="0"/>
        <v>523.16444999999999</v>
      </c>
      <c r="G10" s="9" t="s">
        <v>25</v>
      </c>
    </row>
    <row r="11" spans="2:7" ht="18" x14ac:dyDescent="0.25">
      <c r="B11" s="8">
        <v>8</v>
      </c>
      <c r="C11" s="9" t="s">
        <v>12</v>
      </c>
      <c r="D11" s="12"/>
      <c r="E11" s="9">
        <f>1933.06*0</f>
        <v>0</v>
      </c>
      <c r="F11" s="17">
        <f t="shared" si="0"/>
        <v>0</v>
      </c>
      <c r="G11" s="9" t="s">
        <v>26</v>
      </c>
    </row>
    <row r="12" spans="2:7" ht="18" x14ac:dyDescent="0.25">
      <c r="B12" s="8">
        <v>9</v>
      </c>
      <c r="C12" s="9" t="s">
        <v>3</v>
      </c>
      <c r="D12" s="12"/>
      <c r="E12" s="17">
        <f>0.255*(E3+E4+E5+E6+E7+E8+E9+E10+E11)</f>
        <v>4713.7116944999998</v>
      </c>
      <c r="F12" s="17">
        <f t="shared" si="0"/>
        <v>2356.8558472499999</v>
      </c>
      <c r="G12" s="9" t="s">
        <v>27</v>
      </c>
    </row>
    <row r="13" spans="2:7" ht="18" x14ac:dyDescent="0.25">
      <c r="B13" s="8">
        <v>10</v>
      </c>
      <c r="C13" s="9" t="s">
        <v>4</v>
      </c>
      <c r="D13" s="9">
        <v>25</v>
      </c>
      <c r="E13" s="16">
        <f>2563.78*(D13/25)</f>
        <v>2563.7800000000002</v>
      </c>
      <c r="F13" s="17">
        <f t="shared" si="0"/>
        <v>1281.8900000000001</v>
      </c>
      <c r="G13" s="10" t="s">
        <v>93</v>
      </c>
    </row>
    <row r="14" spans="2:7" ht="18" x14ac:dyDescent="0.25">
      <c r="B14" s="8" t="s">
        <v>9</v>
      </c>
      <c r="C14" s="9" t="s">
        <v>5</v>
      </c>
      <c r="D14" s="9">
        <v>25</v>
      </c>
      <c r="E14" s="9">
        <f>818.98*D14/25</f>
        <v>818.98</v>
      </c>
      <c r="F14" s="17">
        <f t="shared" si="0"/>
        <v>409.49</v>
      </c>
      <c r="G14" s="10" t="s">
        <v>92</v>
      </c>
    </row>
    <row r="15" spans="2:7" ht="18" x14ac:dyDescent="0.25">
      <c r="B15" s="8">
        <v>11</v>
      </c>
      <c r="C15" s="9" t="s">
        <v>14</v>
      </c>
      <c r="D15" s="12"/>
      <c r="E15" s="9">
        <v>0</v>
      </c>
      <c r="F15" s="17">
        <f t="shared" si="0"/>
        <v>0</v>
      </c>
      <c r="G15" s="9" t="s">
        <v>28</v>
      </c>
    </row>
    <row r="16" spans="2:7" ht="18" x14ac:dyDescent="0.25">
      <c r="B16" s="11"/>
      <c r="C16" s="9" t="s">
        <v>16</v>
      </c>
      <c r="D16" s="9"/>
      <c r="E16" s="18">
        <f>SUM(E3:E15)</f>
        <v>26581.615594499995</v>
      </c>
      <c r="F16" s="62">
        <f t="shared" si="0"/>
        <v>13290.807797249998</v>
      </c>
      <c r="G16" s="9"/>
    </row>
    <row r="18" spans="3:7" ht="18" x14ac:dyDescent="0.25">
      <c r="C18" s="9" t="s">
        <v>115</v>
      </c>
      <c r="D18" s="67"/>
      <c r="E18" s="18">
        <f>F3+F4+F5+F6+F7+F8+F9+F12</f>
        <v>11076.263347249998</v>
      </c>
      <c r="F18" s="69">
        <f>F3*0.74</f>
        <v>5996.0349999999999</v>
      </c>
    </row>
    <row r="19" spans="3:7" ht="18.75" x14ac:dyDescent="0.3">
      <c r="C19" s="63"/>
      <c r="D19" s="64"/>
      <c r="E19" s="65"/>
      <c r="F19" s="66"/>
    </row>
    <row r="20" spans="3:7" ht="18" x14ac:dyDescent="0.25">
      <c r="C20" s="45" t="s">
        <v>55</v>
      </c>
      <c r="D20" s="46" t="s">
        <v>65</v>
      </c>
      <c r="E20" s="46" t="s">
        <v>18</v>
      </c>
      <c r="F20" s="46"/>
      <c r="G20" s="46" t="s">
        <v>19</v>
      </c>
    </row>
    <row r="21" spans="3:7" ht="18" x14ac:dyDescent="0.25">
      <c r="C21" s="47" t="s">
        <v>56</v>
      </c>
      <c r="D21" s="51">
        <f>F18+F8+F9</f>
        <v>6165.415</v>
      </c>
      <c r="E21" s="51">
        <f>F21*2</f>
        <v>1241.794752</v>
      </c>
      <c r="F21" s="53">
        <v>620.89737600000001</v>
      </c>
      <c r="G21" s="47" t="s">
        <v>80</v>
      </c>
    </row>
    <row r="22" spans="3:7" ht="18" x14ac:dyDescent="0.25">
      <c r="C22" s="47" t="s">
        <v>57</v>
      </c>
      <c r="D22" s="53">
        <f>(E3+E5+E6+E8+E9+E10+E12)</f>
        <v>23198.855594499997</v>
      </c>
      <c r="E22" s="51">
        <f>0.1*D22</f>
        <v>2319.8855594499996</v>
      </c>
      <c r="F22" s="51">
        <f>E22/2</f>
        <v>1159.9427797249998</v>
      </c>
      <c r="G22" s="47" t="s">
        <v>74</v>
      </c>
    </row>
    <row r="23" spans="3:7" ht="18" x14ac:dyDescent="0.25">
      <c r="C23" s="47" t="s">
        <v>58</v>
      </c>
      <c r="D23" s="53">
        <f>(E3+E5+E6+E8+E9+E10+E12)</f>
        <v>23198.855594499997</v>
      </c>
      <c r="E23" s="51">
        <f>0.025*D23+0.0015*5274.28</f>
        <v>587.88280986249993</v>
      </c>
      <c r="F23" s="51">
        <f t="shared" ref="F23:F32" si="1">E23/2</f>
        <v>293.94140493124996</v>
      </c>
      <c r="G23" s="47" t="s">
        <v>109</v>
      </c>
    </row>
    <row r="24" spans="3:7" ht="18" x14ac:dyDescent="0.25">
      <c r="C24" s="48" t="s">
        <v>59</v>
      </c>
      <c r="D24" s="47"/>
      <c r="E24" s="53">
        <v>377.41378191249436</v>
      </c>
      <c r="F24" s="51">
        <f t="shared" si="1"/>
        <v>188.70689095624718</v>
      </c>
      <c r="G24" s="47" t="s">
        <v>77</v>
      </c>
    </row>
    <row r="25" spans="3:7" ht="18" x14ac:dyDescent="0.25">
      <c r="C25" s="48" t="s">
        <v>60</v>
      </c>
      <c r="D25" s="47"/>
      <c r="E25" s="53">
        <v>1855.4085120229429</v>
      </c>
      <c r="F25" s="51">
        <f t="shared" si="1"/>
        <v>927.70425601147144</v>
      </c>
      <c r="G25" s="47" t="s">
        <v>78</v>
      </c>
    </row>
    <row r="26" spans="3:7" ht="18" x14ac:dyDescent="0.25">
      <c r="C26" s="47" t="s">
        <v>61</v>
      </c>
      <c r="D26" s="47"/>
      <c r="E26" s="51">
        <f>0.025*E16</f>
        <v>664.54038986249998</v>
      </c>
      <c r="F26" s="51">
        <f t="shared" si="1"/>
        <v>332.27019493124999</v>
      </c>
      <c r="G26" s="47" t="s">
        <v>79</v>
      </c>
    </row>
    <row r="27" spans="3:7" ht="18" x14ac:dyDescent="0.25">
      <c r="C27" s="47" t="s">
        <v>62</v>
      </c>
      <c r="D27" s="47"/>
      <c r="E27" s="51">
        <f>0.0075*E16</f>
        <v>199.36211695874997</v>
      </c>
      <c r="F27" s="51">
        <f t="shared" si="1"/>
        <v>99.681058479374983</v>
      </c>
      <c r="G27" s="47" t="s">
        <v>113</v>
      </c>
    </row>
    <row r="28" spans="3:7" ht="18" x14ac:dyDescent="0.25">
      <c r="C28" s="47" t="s">
        <v>63</v>
      </c>
      <c r="D28" s="47"/>
      <c r="E28" s="53">
        <v>400</v>
      </c>
      <c r="F28" s="51">
        <f t="shared" si="1"/>
        <v>200</v>
      </c>
      <c r="G28" s="47" t="s">
        <v>75</v>
      </c>
    </row>
    <row r="29" spans="3:7" ht="18" x14ac:dyDescent="0.25">
      <c r="C29" s="47" t="s">
        <v>82</v>
      </c>
      <c r="D29" s="47"/>
      <c r="E29" s="51">
        <f>0.01*E3</f>
        <v>162.05500000000001</v>
      </c>
      <c r="F29" s="51">
        <f t="shared" si="1"/>
        <v>81.027500000000003</v>
      </c>
      <c r="G29" s="47" t="s">
        <v>76</v>
      </c>
    </row>
    <row r="30" spans="3:7" ht="18" x14ac:dyDescent="0.25">
      <c r="C30" s="47" t="s">
        <v>64</v>
      </c>
      <c r="D30" s="47"/>
      <c r="E30" s="47">
        <v>40</v>
      </c>
      <c r="F30" s="51">
        <f t="shared" si="1"/>
        <v>20</v>
      </c>
      <c r="G30" s="47" t="s">
        <v>81</v>
      </c>
    </row>
    <row r="31" spans="3:7" ht="18" x14ac:dyDescent="0.25">
      <c r="C31" s="47" t="s">
        <v>111</v>
      </c>
      <c r="D31" s="47"/>
      <c r="E31" s="53">
        <v>690</v>
      </c>
      <c r="F31" s="51">
        <f t="shared" si="1"/>
        <v>345</v>
      </c>
      <c r="G31" s="47"/>
    </row>
    <row r="32" spans="3:7" ht="18" x14ac:dyDescent="0.25">
      <c r="C32" s="47" t="s">
        <v>15</v>
      </c>
      <c r="D32" s="47"/>
      <c r="E32" s="51">
        <f>SUM(E21:E31)</f>
        <v>8538.3429220691869</v>
      </c>
      <c r="F32" s="51">
        <f t="shared" si="1"/>
        <v>4269.1714610345934</v>
      </c>
      <c r="G32" s="48"/>
    </row>
    <row r="33" spans="2:7" ht="18" x14ac:dyDescent="0.25">
      <c r="C33" s="47" t="s">
        <v>120</v>
      </c>
      <c r="D33" s="49"/>
      <c r="E33" s="18">
        <f>E16-E32</f>
        <v>18043.272672430809</v>
      </c>
      <c r="F33" s="62">
        <f>F16-F32</f>
        <v>9021.6363362154043</v>
      </c>
      <c r="G33" s="49"/>
    </row>
    <row r="34" spans="2:7" ht="18" x14ac:dyDescent="0.25">
      <c r="C34" s="1"/>
    </row>
    <row r="35" spans="2:7" ht="18" x14ac:dyDescent="0.25">
      <c r="C35" s="43" t="s">
        <v>110</v>
      </c>
      <c r="D35" s="44">
        <v>5274.28</v>
      </c>
    </row>
    <row r="36" spans="2:7" ht="18" x14ac:dyDescent="0.25">
      <c r="C36" s="1"/>
      <c r="D36" s="14"/>
    </row>
    <row r="37" spans="2:7" ht="18" x14ac:dyDescent="0.25">
      <c r="C37" s="42" t="s">
        <v>112</v>
      </c>
      <c r="D37" s="14"/>
    </row>
    <row r="38" spans="2:7" ht="18" x14ac:dyDescent="0.25">
      <c r="B38" s="41" t="s">
        <v>84</v>
      </c>
      <c r="C38" s="41" t="s">
        <v>108</v>
      </c>
    </row>
    <row r="39" spans="2:7" ht="18" x14ac:dyDescent="0.25">
      <c r="B39" s="41" t="s">
        <v>85</v>
      </c>
      <c r="C39" s="41" t="s">
        <v>86</v>
      </c>
    </row>
    <row r="40" spans="2:7" ht="18" x14ac:dyDescent="0.25">
      <c r="B40" s="41" t="s">
        <v>87</v>
      </c>
      <c r="C40" s="41" t="s">
        <v>88</v>
      </c>
    </row>
    <row r="41" spans="2:7" ht="18" x14ac:dyDescent="0.25">
      <c r="B41" s="41" t="s">
        <v>56</v>
      </c>
      <c r="C41" s="41" t="s">
        <v>89</v>
      </c>
    </row>
    <row r="44" spans="2:7" ht="15.75" x14ac:dyDescent="0.25">
      <c r="C44" s="79" t="s">
        <v>53</v>
      </c>
      <c r="D44" s="79"/>
    </row>
    <row r="45" spans="2:7" ht="15.75" x14ac:dyDescent="0.25">
      <c r="C45" s="28" t="s">
        <v>49</v>
      </c>
      <c r="D45" s="29"/>
    </row>
    <row r="46" spans="2:7" ht="15.75" thickBot="1" x14ac:dyDescent="0.3">
      <c r="C46" s="33" t="s">
        <v>29</v>
      </c>
      <c r="D46" s="56">
        <v>14662.26</v>
      </c>
    </row>
    <row r="47" spans="2:7" ht="15.75" thickBot="1" x14ac:dyDescent="0.3">
      <c r="C47" s="33" t="s">
        <v>30</v>
      </c>
      <c r="D47" s="56">
        <v>16446.5</v>
      </c>
    </row>
    <row r="48" spans="2:7" ht="15.75" thickBot="1" x14ac:dyDescent="0.3">
      <c r="C48" s="33" t="s">
        <v>31</v>
      </c>
      <c r="D48" s="56">
        <v>18438.86</v>
      </c>
    </row>
    <row r="49" spans="3:4" ht="15.75" thickBot="1" x14ac:dyDescent="0.3">
      <c r="C49" s="33" t="s">
        <v>32</v>
      </c>
      <c r="D49" s="56">
        <v>20663.57</v>
      </c>
    </row>
    <row r="50" spans="3:4" ht="15.75" thickBot="1" x14ac:dyDescent="0.3">
      <c r="C50" s="33" t="s">
        <v>33</v>
      </c>
      <c r="D50" s="56">
        <v>23152.19</v>
      </c>
    </row>
    <row r="51" spans="3:4" ht="15.75" thickBot="1" x14ac:dyDescent="0.3">
      <c r="C51" s="33" t="s">
        <v>34</v>
      </c>
      <c r="D51" s="56">
        <v>25928.89</v>
      </c>
    </row>
    <row r="52" spans="3:4" ht="15.75" thickBot="1" x14ac:dyDescent="0.3">
      <c r="C52" s="33" t="s">
        <v>35</v>
      </c>
      <c r="D52" s="56">
        <v>29032.69</v>
      </c>
    </row>
    <row r="53" spans="3:4" ht="15.75" thickBot="1" x14ac:dyDescent="0.3">
      <c r="C53" s="33" t="s">
        <v>36</v>
      </c>
      <c r="D53" s="56">
        <v>32495.23</v>
      </c>
    </row>
    <row r="54" spans="3:4" ht="16.5" thickBot="1" x14ac:dyDescent="0.3">
      <c r="C54" s="30" t="s">
        <v>50</v>
      </c>
      <c r="D54" s="31"/>
    </row>
    <row r="55" spans="3:4" ht="15.75" thickBot="1" x14ac:dyDescent="0.3">
      <c r="C55" s="32" t="s">
        <v>30</v>
      </c>
      <c r="D55" s="56">
        <v>8223.23</v>
      </c>
    </row>
    <row r="56" spans="3:4" ht="15.75" thickBot="1" x14ac:dyDescent="0.3">
      <c r="C56" s="33" t="s">
        <v>31</v>
      </c>
      <c r="D56" s="56">
        <v>9219.43</v>
      </c>
    </row>
    <row r="57" spans="3:4" ht="15.75" thickBot="1" x14ac:dyDescent="0.3">
      <c r="C57" s="33" t="s">
        <v>32</v>
      </c>
      <c r="D57" s="56">
        <v>10331.780000000001</v>
      </c>
    </row>
    <row r="58" spans="3:4" ht="15.75" thickBot="1" x14ac:dyDescent="0.3">
      <c r="C58" s="33" t="s">
        <v>33</v>
      </c>
      <c r="D58" s="56">
        <v>11576.08</v>
      </c>
    </row>
    <row r="59" spans="3:4" ht="15.75" thickBot="1" x14ac:dyDescent="0.3">
      <c r="C59" s="33" t="s">
        <v>34</v>
      </c>
      <c r="D59" s="56">
        <v>12964.45</v>
      </c>
    </row>
    <row r="60" spans="3:4" ht="15.75" thickBot="1" x14ac:dyDescent="0.3">
      <c r="C60" s="33" t="s">
        <v>35</v>
      </c>
      <c r="D60" s="56">
        <v>14516.35</v>
      </c>
    </row>
    <row r="61" spans="3:4" ht="15.75" thickBot="1" x14ac:dyDescent="0.3">
      <c r="C61" s="33" t="s">
        <v>36</v>
      </c>
      <c r="D61" s="56">
        <v>16247.62</v>
      </c>
    </row>
    <row r="62" spans="3:4" ht="16.5" thickBot="1" x14ac:dyDescent="0.3">
      <c r="C62" s="30" t="s">
        <v>51</v>
      </c>
      <c r="D62" s="31"/>
    </row>
    <row r="63" spans="3:4" ht="15.75" thickBot="1" x14ac:dyDescent="0.3">
      <c r="C63" s="32" t="s">
        <v>37</v>
      </c>
      <c r="D63" s="56">
        <v>13996.23</v>
      </c>
    </row>
    <row r="64" spans="3:4" ht="15.75" thickBot="1" x14ac:dyDescent="0.3">
      <c r="C64" s="33" t="s">
        <v>38</v>
      </c>
      <c r="D64" s="56">
        <v>15675.17</v>
      </c>
    </row>
    <row r="65" spans="3:4" ht="15.75" thickBot="1" x14ac:dyDescent="0.3">
      <c r="C65" s="33" t="s">
        <v>39</v>
      </c>
      <c r="D65" s="56">
        <v>17557.900000000001</v>
      </c>
    </row>
    <row r="66" spans="3:4" ht="15.75" thickBot="1" x14ac:dyDescent="0.3">
      <c r="C66" s="33" t="s">
        <v>40</v>
      </c>
      <c r="D66" s="56">
        <v>19663.650000000001</v>
      </c>
    </row>
    <row r="67" spans="3:4" ht="15.75" thickBot="1" x14ac:dyDescent="0.3">
      <c r="C67" s="33" t="s">
        <v>41</v>
      </c>
      <c r="D67" s="56">
        <v>22024.05</v>
      </c>
    </row>
    <row r="68" spans="3:4" ht="15.75" thickBot="1" x14ac:dyDescent="0.3">
      <c r="C68" s="57" t="s">
        <v>42</v>
      </c>
      <c r="D68" s="56">
        <v>24667.119999999999</v>
      </c>
    </row>
    <row r="69" spans="3:4" ht="16.5" thickBot="1" x14ac:dyDescent="0.3">
      <c r="C69" s="30" t="s">
        <v>52</v>
      </c>
      <c r="D69" s="31"/>
    </row>
    <row r="70" spans="3:4" ht="15.75" thickBot="1" x14ac:dyDescent="0.3">
      <c r="C70" s="32" t="s">
        <v>43</v>
      </c>
      <c r="D70" s="56">
        <v>421.43</v>
      </c>
    </row>
    <row r="71" spans="3:4" ht="15.75" thickBot="1" x14ac:dyDescent="0.3">
      <c r="C71" s="33" t="s">
        <v>44</v>
      </c>
      <c r="D71" s="56">
        <v>489.58</v>
      </c>
    </row>
    <row r="72" spans="3:4" ht="15.75" thickBot="1" x14ac:dyDescent="0.3">
      <c r="C72" s="33" t="s">
        <v>45</v>
      </c>
      <c r="D72" s="56">
        <v>529.51</v>
      </c>
    </row>
    <row r="73" spans="3:4" ht="15.75" thickBot="1" x14ac:dyDescent="0.3">
      <c r="C73" s="33" t="s">
        <v>46</v>
      </c>
      <c r="D73" s="56">
        <v>648.22</v>
      </c>
    </row>
    <row r="74" spans="3:4" ht="15.75" thickBot="1" x14ac:dyDescent="0.3">
      <c r="C74" s="33" t="s">
        <v>47</v>
      </c>
      <c r="D74" s="56">
        <v>812.38</v>
      </c>
    </row>
    <row r="75" spans="3:4" ht="15.75" thickBot="1" x14ac:dyDescent="0.3">
      <c r="C75" s="33" t="s">
        <v>48</v>
      </c>
      <c r="D75" s="56">
        <v>1233.48</v>
      </c>
    </row>
  </sheetData>
  <mergeCells count="1">
    <mergeCell ref="C44:D44"/>
  </mergeCells>
  <pageMargins left="0.7" right="0.7" top="0.75" bottom="0.75" header="0.3" footer="0.3"/>
  <pageSetup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B1:G75"/>
  <sheetViews>
    <sheetView tabSelected="1" workbookViewId="0">
      <selection activeCell="E33" sqref="E33"/>
    </sheetView>
  </sheetViews>
  <sheetFormatPr baseColWidth="10" defaultRowHeight="15" x14ac:dyDescent="0.25"/>
  <cols>
    <col min="3" max="3" width="60.28515625" customWidth="1"/>
    <col min="4" max="4" width="15.140625" customWidth="1"/>
    <col min="5" max="5" width="16.140625" customWidth="1"/>
    <col min="6" max="6" width="18.85546875" customWidth="1"/>
    <col min="7" max="7" width="146.140625" customWidth="1"/>
  </cols>
  <sheetData>
    <row r="1" spans="2:7" ht="15.75" thickBot="1" x14ac:dyDescent="0.3"/>
    <row r="2" spans="2:7" ht="18" x14ac:dyDescent="0.25">
      <c r="B2" s="4"/>
      <c r="C2" s="5" t="s">
        <v>54</v>
      </c>
      <c r="D2" s="6" t="s">
        <v>17</v>
      </c>
      <c r="E2" s="6" t="s">
        <v>18</v>
      </c>
      <c r="F2" s="6" t="s">
        <v>114</v>
      </c>
      <c r="G2" s="7" t="s">
        <v>19</v>
      </c>
    </row>
    <row r="3" spans="2:7" ht="18.75" thickBot="1" x14ac:dyDescent="0.3">
      <c r="B3" s="8">
        <v>1</v>
      </c>
      <c r="C3" s="9" t="s">
        <v>6</v>
      </c>
      <c r="D3" s="12"/>
      <c r="E3" s="72">
        <f>D50</f>
        <v>23152.19</v>
      </c>
      <c r="F3" s="17">
        <f>E3/2</f>
        <v>11576.094999999999</v>
      </c>
      <c r="G3" s="9" t="s">
        <v>20</v>
      </c>
    </row>
    <row r="4" spans="2:7" ht="18" x14ac:dyDescent="0.25">
      <c r="B4" s="8">
        <v>2</v>
      </c>
      <c r="C4" s="9" t="s">
        <v>7</v>
      </c>
      <c r="D4" s="9">
        <v>4</v>
      </c>
      <c r="E4" s="71">
        <f>D4*D72</f>
        <v>2118.04</v>
      </c>
      <c r="F4" s="17">
        <f t="shared" ref="F4:F16" si="0">E4/2</f>
        <v>1059.02</v>
      </c>
      <c r="G4" s="9" t="s">
        <v>83</v>
      </c>
    </row>
    <row r="5" spans="2:7" ht="18" x14ac:dyDescent="0.25">
      <c r="B5" s="8" t="s">
        <v>8</v>
      </c>
      <c r="C5" s="9" t="s">
        <v>0</v>
      </c>
      <c r="D5" s="12"/>
      <c r="E5" s="17">
        <f>0.01*(E3+E4)</f>
        <v>252.70230000000001</v>
      </c>
      <c r="F5" s="17">
        <f t="shared" si="0"/>
        <v>126.35115</v>
      </c>
      <c r="G5" s="9" t="s">
        <v>21</v>
      </c>
    </row>
    <row r="6" spans="2:7" ht="18" x14ac:dyDescent="0.25">
      <c r="B6" s="8">
        <v>3</v>
      </c>
      <c r="C6" s="10" t="s">
        <v>13</v>
      </c>
      <c r="D6" s="12"/>
      <c r="E6" s="9">
        <v>0</v>
      </c>
      <c r="F6" s="17">
        <f t="shared" si="0"/>
        <v>0</v>
      </c>
      <c r="G6" s="9" t="s">
        <v>23</v>
      </c>
    </row>
    <row r="7" spans="2:7" ht="18" x14ac:dyDescent="0.25">
      <c r="B7" s="8">
        <v>4</v>
      </c>
      <c r="C7" s="10" t="s">
        <v>10</v>
      </c>
      <c r="D7" s="12"/>
      <c r="E7" s="9">
        <v>0</v>
      </c>
      <c r="F7" s="17">
        <f t="shared" si="0"/>
        <v>0</v>
      </c>
      <c r="G7" s="9" t="s">
        <v>22</v>
      </c>
    </row>
    <row r="8" spans="2:7" ht="18" x14ac:dyDescent="0.25">
      <c r="B8" s="8">
        <v>5</v>
      </c>
      <c r="C8" s="9" t="s">
        <v>1</v>
      </c>
      <c r="D8" s="12"/>
      <c r="E8" s="17">
        <f>0.035*(E3+E4+E6+E7)</f>
        <v>884.45805000000007</v>
      </c>
      <c r="F8" s="17">
        <f t="shared" si="0"/>
        <v>442.22902500000004</v>
      </c>
      <c r="G8" s="9" t="s">
        <v>116</v>
      </c>
    </row>
    <row r="9" spans="2:7" ht="18" x14ac:dyDescent="0.25">
      <c r="B9" s="8">
        <v>6</v>
      </c>
      <c r="C9" s="9" t="s">
        <v>11</v>
      </c>
      <c r="D9" s="12"/>
      <c r="E9" s="17">
        <f>0.134*(E3+E4+E6+E7+E8)*0</f>
        <v>0</v>
      </c>
      <c r="F9" s="17">
        <f t="shared" si="0"/>
        <v>0</v>
      </c>
      <c r="G9" s="9" t="s">
        <v>24</v>
      </c>
    </row>
    <row r="10" spans="2:7" ht="18" x14ac:dyDescent="0.25">
      <c r="B10" s="8">
        <v>7</v>
      </c>
      <c r="C10" s="9" t="s">
        <v>2</v>
      </c>
      <c r="D10" s="12"/>
      <c r="E10" s="17">
        <f>0.06*(E3+E4+E5+E6+E7+E8+E9)</f>
        <v>1584.4434209999999</v>
      </c>
      <c r="F10" s="17">
        <f t="shared" si="0"/>
        <v>792.22171049999997</v>
      </c>
      <c r="G10" s="9" t="s">
        <v>25</v>
      </c>
    </row>
    <row r="11" spans="2:7" ht="18" x14ac:dyDescent="0.25">
      <c r="B11" s="8">
        <v>8</v>
      </c>
      <c r="C11" s="9" t="s">
        <v>12</v>
      </c>
      <c r="D11" s="12"/>
      <c r="E11" s="9">
        <f>1933.06*0</f>
        <v>0</v>
      </c>
      <c r="F11" s="17">
        <f t="shared" si="0"/>
        <v>0</v>
      </c>
      <c r="G11" s="9" t="s">
        <v>26</v>
      </c>
    </row>
    <row r="12" spans="2:7" ht="18" x14ac:dyDescent="0.25">
      <c r="B12" s="8">
        <v>9</v>
      </c>
      <c r="C12" s="9" t="s">
        <v>3</v>
      </c>
      <c r="D12" s="12"/>
      <c r="E12" s="17">
        <f>0.255*(E3+E4+E5+E6+E7+E8+E9+E10+E11)</f>
        <v>7137.9176116050003</v>
      </c>
      <c r="F12" s="17">
        <f t="shared" si="0"/>
        <v>3568.9588058025001</v>
      </c>
      <c r="G12" s="9" t="s">
        <v>27</v>
      </c>
    </row>
    <row r="13" spans="2:7" ht="18" x14ac:dyDescent="0.25">
      <c r="B13" s="8">
        <v>10</v>
      </c>
      <c r="C13" s="9" t="s">
        <v>4</v>
      </c>
      <c r="D13" s="12"/>
      <c r="E13" s="16">
        <f>2563.78</f>
        <v>2563.7800000000002</v>
      </c>
      <c r="F13" s="17">
        <f t="shared" si="0"/>
        <v>1281.8900000000001</v>
      </c>
      <c r="G13" s="10" t="s">
        <v>93</v>
      </c>
    </row>
    <row r="14" spans="2:7" ht="18" x14ac:dyDescent="0.25">
      <c r="B14" s="8" t="s">
        <v>9</v>
      </c>
      <c r="C14" s="9" t="s">
        <v>5</v>
      </c>
      <c r="D14" s="12"/>
      <c r="E14" s="9">
        <f>818.98</f>
        <v>818.98</v>
      </c>
      <c r="F14" s="17">
        <f t="shared" si="0"/>
        <v>409.49</v>
      </c>
      <c r="G14" s="10" t="s">
        <v>92</v>
      </c>
    </row>
    <row r="15" spans="2:7" ht="18" x14ac:dyDescent="0.25">
      <c r="B15" s="8">
        <v>11</v>
      </c>
      <c r="C15" s="9" t="s">
        <v>14</v>
      </c>
      <c r="D15" s="12"/>
      <c r="E15" s="9">
        <v>0</v>
      </c>
      <c r="F15" s="17">
        <f t="shared" si="0"/>
        <v>0</v>
      </c>
      <c r="G15" s="9" t="s">
        <v>28</v>
      </c>
    </row>
    <row r="16" spans="2:7" ht="18" x14ac:dyDescent="0.25">
      <c r="B16" s="11"/>
      <c r="C16" s="9" t="s">
        <v>16</v>
      </c>
      <c r="D16" s="9"/>
      <c r="E16" s="17">
        <f>SUM(E3:E15)</f>
        <v>38512.511382605</v>
      </c>
      <c r="F16" s="17">
        <f t="shared" si="0"/>
        <v>19256.2556913025</v>
      </c>
      <c r="G16" s="9"/>
    </row>
    <row r="18" spans="3:7" ht="18.75" x14ac:dyDescent="0.3">
      <c r="C18" s="58" t="s">
        <v>115</v>
      </c>
      <c r="D18" s="67"/>
      <c r="E18" s="68">
        <f>2*F18</f>
        <v>17132.620599999998</v>
      </c>
      <c r="F18" s="70">
        <f>F3*0.74</f>
        <v>8566.3102999999992</v>
      </c>
    </row>
    <row r="19" spans="3:7" ht="18.75" x14ac:dyDescent="0.3">
      <c r="C19" s="63"/>
      <c r="E19" s="52"/>
      <c r="F19" s="50"/>
    </row>
    <row r="20" spans="3:7" ht="18" x14ac:dyDescent="0.25">
      <c r="C20" s="45" t="s">
        <v>55</v>
      </c>
      <c r="D20" s="46" t="s">
        <v>65</v>
      </c>
      <c r="E20" s="46" t="s">
        <v>18</v>
      </c>
      <c r="F20" s="46"/>
      <c r="G20" s="46" t="s">
        <v>19</v>
      </c>
    </row>
    <row r="21" spans="3:7" ht="18" x14ac:dyDescent="0.25">
      <c r="C21" s="47" t="s">
        <v>56</v>
      </c>
      <c r="D21" s="51">
        <f>F18+F8+F9</f>
        <v>9008.5393249999997</v>
      </c>
      <c r="E21" s="51">
        <f>F21*2</f>
        <v>2426.3702876399998</v>
      </c>
      <c r="F21" s="53">
        <v>1213.1851438199999</v>
      </c>
      <c r="G21" s="47" t="s">
        <v>80</v>
      </c>
    </row>
    <row r="22" spans="3:7" ht="18" x14ac:dyDescent="0.25">
      <c r="C22" s="47" t="s">
        <v>57</v>
      </c>
      <c r="D22" s="53">
        <f>(E3+E5+E6+E8+E9+E10+E12)</f>
        <v>33011.711382605004</v>
      </c>
      <c r="E22" s="51">
        <f>0.1*D22</f>
        <v>3301.1711382605008</v>
      </c>
      <c r="F22" s="51">
        <f>E22/2</f>
        <v>1650.5855691302504</v>
      </c>
      <c r="G22" s="47" t="s">
        <v>74</v>
      </c>
    </row>
    <row r="23" spans="3:7" ht="18" x14ac:dyDescent="0.25">
      <c r="C23" s="47" t="s">
        <v>58</v>
      </c>
      <c r="D23" s="53">
        <f>(E3+E5+E6+E8+E9+E10+E12)</f>
        <v>33011.711382605004</v>
      </c>
      <c r="E23" s="51">
        <f>0.025*D23+0.0015*5274.28</f>
        <v>833.20420456512522</v>
      </c>
      <c r="F23" s="51">
        <f t="shared" ref="F23:F32" si="1">E23/2</f>
        <v>416.60210228256261</v>
      </c>
      <c r="G23" s="47" t="s">
        <v>109</v>
      </c>
    </row>
    <row r="24" spans="3:7" ht="18" x14ac:dyDescent="0.25">
      <c r="C24" s="48" t="s">
        <v>59</v>
      </c>
      <c r="D24" s="47"/>
      <c r="E24" s="53">
        <v>377.41378191249436</v>
      </c>
      <c r="F24" s="51">
        <f t="shared" si="1"/>
        <v>188.70689095624718</v>
      </c>
      <c r="G24" s="47" t="s">
        <v>77</v>
      </c>
    </row>
    <row r="25" spans="3:7" ht="18" x14ac:dyDescent="0.25">
      <c r="C25" s="48" t="s">
        <v>60</v>
      </c>
      <c r="D25" s="47"/>
      <c r="E25" s="53">
        <v>1855.4085120229429</v>
      </c>
      <c r="F25" s="51">
        <f t="shared" si="1"/>
        <v>927.70425601147144</v>
      </c>
      <c r="G25" s="47" t="s">
        <v>78</v>
      </c>
    </row>
    <row r="26" spans="3:7" ht="18" x14ac:dyDescent="0.25">
      <c r="C26" s="47" t="s">
        <v>61</v>
      </c>
      <c r="D26" s="47"/>
      <c r="E26" s="51">
        <f>0.025*E16</f>
        <v>962.81278456512507</v>
      </c>
      <c r="F26" s="51">
        <f t="shared" si="1"/>
        <v>481.40639228256254</v>
      </c>
      <c r="G26" s="47" t="s">
        <v>79</v>
      </c>
    </row>
    <row r="27" spans="3:7" ht="18" x14ac:dyDescent="0.25">
      <c r="C27" s="47" t="s">
        <v>62</v>
      </c>
      <c r="D27" s="47"/>
      <c r="E27" s="51">
        <f>0.0075*E16</f>
        <v>288.84383536953749</v>
      </c>
      <c r="F27" s="51">
        <f t="shared" si="1"/>
        <v>144.42191768476874</v>
      </c>
      <c r="G27" s="47" t="s">
        <v>113</v>
      </c>
    </row>
    <row r="28" spans="3:7" ht="18" x14ac:dyDescent="0.25">
      <c r="C28" s="47" t="s">
        <v>63</v>
      </c>
      <c r="D28" s="47"/>
      <c r="E28" s="53">
        <v>400</v>
      </c>
      <c r="F28" s="51">
        <f t="shared" si="1"/>
        <v>200</v>
      </c>
      <c r="G28" s="47" t="s">
        <v>75</v>
      </c>
    </row>
    <row r="29" spans="3:7" ht="18" x14ac:dyDescent="0.25">
      <c r="C29" s="47" t="s">
        <v>82</v>
      </c>
      <c r="D29" s="47"/>
      <c r="E29" s="51">
        <f>0.01*E3</f>
        <v>231.52189999999999</v>
      </c>
      <c r="F29" s="51">
        <f t="shared" si="1"/>
        <v>115.76094999999999</v>
      </c>
      <c r="G29" s="47" t="s">
        <v>76</v>
      </c>
    </row>
    <row r="30" spans="3:7" ht="18" x14ac:dyDescent="0.25">
      <c r="C30" s="47" t="s">
        <v>64</v>
      </c>
      <c r="D30" s="47"/>
      <c r="E30" s="47">
        <v>40</v>
      </c>
      <c r="F30" s="51">
        <f t="shared" si="1"/>
        <v>20</v>
      </c>
      <c r="G30" s="47" t="s">
        <v>81</v>
      </c>
    </row>
    <row r="31" spans="3:7" ht="18" x14ac:dyDescent="0.25">
      <c r="C31" s="47" t="s">
        <v>111</v>
      </c>
      <c r="D31" s="47"/>
      <c r="E31" s="53">
        <v>690</v>
      </c>
      <c r="F31" s="51">
        <f t="shared" si="1"/>
        <v>345</v>
      </c>
      <c r="G31" s="47"/>
    </row>
    <row r="32" spans="3:7" ht="18" x14ac:dyDescent="0.25">
      <c r="C32" s="47" t="s">
        <v>15</v>
      </c>
      <c r="D32" s="47"/>
      <c r="E32" s="51">
        <f>SUM(E21:E31)</f>
        <v>11406.746444335728</v>
      </c>
      <c r="F32" s="51">
        <f t="shared" si="1"/>
        <v>5703.3732221678638</v>
      </c>
      <c r="G32" s="48"/>
    </row>
    <row r="33" spans="2:7" ht="18" x14ac:dyDescent="0.25">
      <c r="C33" s="47" t="s">
        <v>120</v>
      </c>
      <c r="D33" s="49"/>
      <c r="E33" s="18">
        <f>E16-E32</f>
        <v>27105.764938269273</v>
      </c>
      <c r="F33" s="62">
        <f>F16-F32</f>
        <v>13552.882469134636</v>
      </c>
      <c r="G33" s="49"/>
    </row>
    <row r="34" spans="2:7" ht="18" x14ac:dyDescent="0.25">
      <c r="C34" s="1"/>
    </row>
    <row r="35" spans="2:7" ht="18" x14ac:dyDescent="0.25">
      <c r="C35" s="43" t="s">
        <v>110</v>
      </c>
      <c r="D35" s="44">
        <v>5274.28</v>
      </c>
    </row>
    <row r="36" spans="2:7" ht="18" x14ac:dyDescent="0.25">
      <c r="C36" s="1"/>
      <c r="D36" s="14"/>
    </row>
    <row r="37" spans="2:7" ht="18" x14ac:dyDescent="0.25">
      <c r="C37" s="42" t="s">
        <v>112</v>
      </c>
      <c r="D37" s="14"/>
    </row>
    <row r="38" spans="2:7" ht="18" x14ac:dyDescent="0.25">
      <c r="B38" s="41" t="s">
        <v>84</v>
      </c>
      <c r="C38" s="41" t="s">
        <v>108</v>
      </c>
    </row>
    <row r="39" spans="2:7" ht="18" x14ac:dyDescent="0.25">
      <c r="B39" s="41" t="s">
        <v>85</v>
      </c>
      <c r="C39" s="41" t="s">
        <v>86</v>
      </c>
    </row>
    <row r="40" spans="2:7" ht="18" x14ac:dyDescent="0.25">
      <c r="B40" s="41" t="s">
        <v>87</v>
      </c>
      <c r="C40" s="41" t="s">
        <v>88</v>
      </c>
    </row>
    <row r="41" spans="2:7" ht="18" x14ac:dyDescent="0.25">
      <c r="B41" s="41" t="s">
        <v>56</v>
      </c>
      <c r="C41" s="41" t="s">
        <v>89</v>
      </c>
    </row>
    <row r="44" spans="2:7" ht="15.75" x14ac:dyDescent="0.25">
      <c r="C44" s="79" t="s">
        <v>53</v>
      </c>
      <c r="D44" s="79"/>
    </row>
    <row r="45" spans="2:7" ht="15.75" x14ac:dyDescent="0.25">
      <c r="C45" s="28" t="s">
        <v>49</v>
      </c>
      <c r="D45" s="29"/>
    </row>
    <row r="46" spans="2:7" ht="15.75" thickBot="1" x14ac:dyDescent="0.3">
      <c r="C46" s="33" t="s">
        <v>29</v>
      </c>
      <c r="D46" s="56">
        <v>14662.26</v>
      </c>
    </row>
    <row r="47" spans="2:7" ht="19.5" customHeight="1" thickBot="1" x14ac:dyDescent="0.3">
      <c r="C47" s="33" t="s">
        <v>30</v>
      </c>
      <c r="D47" s="56">
        <v>16446.5</v>
      </c>
    </row>
    <row r="48" spans="2:7" ht="16.5" customHeight="1" thickBot="1" x14ac:dyDescent="0.3">
      <c r="C48" s="33" t="s">
        <v>31</v>
      </c>
      <c r="D48" s="56">
        <v>18438.86</v>
      </c>
    </row>
    <row r="49" spans="3:4" ht="18.75" customHeight="1" thickBot="1" x14ac:dyDescent="0.3">
      <c r="C49" s="33" t="s">
        <v>32</v>
      </c>
      <c r="D49" s="56">
        <v>20663.57</v>
      </c>
    </row>
    <row r="50" spans="3:4" ht="20.25" customHeight="1" thickBot="1" x14ac:dyDescent="0.3">
      <c r="C50" s="33" t="s">
        <v>33</v>
      </c>
      <c r="D50" s="56">
        <v>23152.19</v>
      </c>
    </row>
    <row r="51" spans="3:4" ht="15.75" thickBot="1" x14ac:dyDescent="0.3">
      <c r="C51" s="33" t="s">
        <v>34</v>
      </c>
      <c r="D51" s="56">
        <v>25928.89</v>
      </c>
    </row>
    <row r="52" spans="3:4" ht="15.75" thickBot="1" x14ac:dyDescent="0.3">
      <c r="C52" s="33" t="s">
        <v>35</v>
      </c>
      <c r="D52" s="56">
        <v>29032.69</v>
      </c>
    </row>
    <row r="53" spans="3:4" ht="15.75" thickBot="1" x14ac:dyDescent="0.3">
      <c r="C53" s="33" t="s">
        <v>36</v>
      </c>
      <c r="D53" s="56">
        <v>32495.23</v>
      </c>
    </row>
    <row r="54" spans="3:4" ht="16.5" thickBot="1" x14ac:dyDescent="0.3">
      <c r="C54" s="30" t="s">
        <v>50</v>
      </c>
      <c r="D54" s="31"/>
    </row>
    <row r="55" spans="3:4" ht="19.5" customHeight="1" thickBot="1" x14ac:dyDescent="0.3">
      <c r="C55" s="32" t="s">
        <v>30</v>
      </c>
      <c r="D55" s="56">
        <v>8223.23</v>
      </c>
    </row>
    <row r="56" spans="3:4" ht="18" customHeight="1" thickBot="1" x14ac:dyDescent="0.3">
      <c r="C56" s="33" t="s">
        <v>31</v>
      </c>
      <c r="D56" s="56">
        <v>9219.43</v>
      </c>
    </row>
    <row r="57" spans="3:4" ht="18.75" customHeight="1" thickBot="1" x14ac:dyDescent="0.3">
      <c r="C57" s="33" t="s">
        <v>32</v>
      </c>
      <c r="D57" s="56">
        <v>10331.780000000001</v>
      </c>
    </row>
    <row r="58" spans="3:4" ht="18.75" customHeight="1" thickBot="1" x14ac:dyDescent="0.3">
      <c r="C58" s="33" t="s">
        <v>33</v>
      </c>
      <c r="D58" s="56">
        <v>11576.08</v>
      </c>
    </row>
    <row r="59" spans="3:4" ht="15.75" thickBot="1" x14ac:dyDescent="0.3">
      <c r="C59" s="33" t="s">
        <v>34</v>
      </c>
      <c r="D59" s="56">
        <v>12964.45</v>
      </c>
    </row>
    <row r="60" spans="3:4" ht="15.75" thickBot="1" x14ac:dyDescent="0.3">
      <c r="C60" s="33" t="s">
        <v>35</v>
      </c>
      <c r="D60" s="56">
        <v>14516.35</v>
      </c>
    </row>
    <row r="61" spans="3:4" ht="15.75" thickBot="1" x14ac:dyDescent="0.3">
      <c r="C61" s="33" t="s">
        <v>36</v>
      </c>
      <c r="D61" s="56">
        <v>16247.62</v>
      </c>
    </row>
    <row r="62" spans="3:4" ht="16.5" thickBot="1" x14ac:dyDescent="0.3">
      <c r="C62" s="30" t="s">
        <v>51</v>
      </c>
      <c r="D62" s="31"/>
    </row>
    <row r="63" spans="3:4" ht="15.75" thickBot="1" x14ac:dyDescent="0.3">
      <c r="C63" s="32" t="s">
        <v>37</v>
      </c>
      <c r="D63" s="56">
        <v>13996.23</v>
      </c>
    </row>
    <row r="64" spans="3:4" ht="15.75" thickBot="1" x14ac:dyDescent="0.3">
      <c r="C64" s="33" t="s">
        <v>38</v>
      </c>
      <c r="D64" s="56">
        <v>15675.17</v>
      </c>
    </row>
    <row r="65" spans="3:4" ht="15.75" thickBot="1" x14ac:dyDescent="0.3">
      <c r="C65" s="33" t="s">
        <v>39</v>
      </c>
      <c r="D65" s="56">
        <v>17557.900000000001</v>
      </c>
    </row>
    <row r="66" spans="3:4" ht="15.75" thickBot="1" x14ac:dyDescent="0.3">
      <c r="C66" s="33" t="s">
        <v>40</v>
      </c>
      <c r="D66" s="56">
        <v>19663.650000000001</v>
      </c>
    </row>
    <row r="67" spans="3:4" ht="15.75" thickBot="1" x14ac:dyDescent="0.3">
      <c r="C67" s="33" t="s">
        <v>41</v>
      </c>
      <c r="D67" s="56">
        <v>22024.05</v>
      </c>
    </row>
    <row r="68" spans="3:4" ht="15.75" thickBot="1" x14ac:dyDescent="0.3">
      <c r="C68" s="57" t="s">
        <v>42</v>
      </c>
      <c r="D68" s="56">
        <v>24667.119999999999</v>
      </c>
    </row>
    <row r="69" spans="3:4" ht="16.5" thickBot="1" x14ac:dyDescent="0.3">
      <c r="C69" s="30" t="s">
        <v>52</v>
      </c>
      <c r="D69" s="31"/>
    </row>
    <row r="70" spans="3:4" ht="15.75" thickBot="1" x14ac:dyDescent="0.3">
      <c r="C70" s="32" t="s">
        <v>43</v>
      </c>
      <c r="D70" s="56">
        <v>421.43</v>
      </c>
    </row>
    <row r="71" spans="3:4" ht="15.75" thickBot="1" x14ac:dyDescent="0.3">
      <c r="C71" s="33" t="s">
        <v>44</v>
      </c>
      <c r="D71" s="56">
        <v>489.58</v>
      </c>
    </row>
    <row r="72" spans="3:4" ht="15.75" thickBot="1" x14ac:dyDescent="0.3">
      <c r="C72" s="33" t="s">
        <v>45</v>
      </c>
      <c r="D72" s="56">
        <v>529.51</v>
      </c>
    </row>
    <row r="73" spans="3:4" ht="15.75" thickBot="1" x14ac:dyDescent="0.3">
      <c r="C73" s="33" t="s">
        <v>46</v>
      </c>
      <c r="D73" s="56">
        <v>648.22</v>
      </c>
    </row>
    <row r="74" spans="3:4" ht="15.75" thickBot="1" x14ac:dyDescent="0.3">
      <c r="C74" s="33" t="s">
        <v>47</v>
      </c>
      <c r="D74" s="56">
        <v>812.38</v>
      </c>
    </row>
    <row r="75" spans="3:4" ht="15.75" thickBot="1" x14ac:dyDescent="0.3">
      <c r="C75" s="33" t="s">
        <v>48</v>
      </c>
      <c r="D75" s="56">
        <v>1233.48</v>
      </c>
    </row>
  </sheetData>
  <mergeCells count="1">
    <mergeCell ref="C44:D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H33"/>
  <sheetViews>
    <sheetView topLeftCell="C1" workbookViewId="0">
      <selection activeCell="F19" sqref="F19"/>
    </sheetView>
  </sheetViews>
  <sheetFormatPr baseColWidth="10" defaultRowHeight="15" x14ac:dyDescent="0.25"/>
  <cols>
    <col min="2" max="2" width="35.42578125" customWidth="1"/>
    <col min="3" max="3" width="18.7109375" customWidth="1"/>
  </cols>
  <sheetData>
    <row r="2" spans="2:8" ht="15.75" x14ac:dyDescent="0.25">
      <c r="B2" s="79" t="s">
        <v>53</v>
      </c>
      <c r="C2" s="79"/>
    </row>
    <row r="3" spans="2:8" ht="15.75" x14ac:dyDescent="0.25">
      <c r="B3" s="28" t="s">
        <v>49</v>
      </c>
      <c r="C3" s="29"/>
    </row>
    <row r="4" spans="2:8" ht="15.75" thickBot="1" x14ac:dyDescent="0.3">
      <c r="B4" s="33" t="s">
        <v>29</v>
      </c>
      <c r="C4" s="56">
        <v>14662.26</v>
      </c>
    </row>
    <row r="5" spans="2:8" ht="15.75" thickBot="1" x14ac:dyDescent="0.3">
      <c r="B5" s="33" t="s">
        <v>30</v>
      </c>
      <c r="C5" s="56">
        <v>16446.5</v>
      </c>
    </row>
    <row r="6" spans="2:8" ht="15.75" thickBot="1" x14ac:dyDescent="0.3">
      <c r="B6" s="33" t="s">
        <v>31</v>
      </c>
      <c r="C6" s="56">
        <v>18438.86</v>
      </c>
    </row>
    <row r="7" spans="2:8" ht="15.75" thickBot="1" x14ac:dyDescent="0.3">
      <c r="B7" s="33" t="s">
        <v>32</v>
      </c>
      <c r="C7" s="56">
        <v>20663.57</v>
      </c>
    </row>
    <row r="8" spans="2:8" ht="15.75" thickBot="1" x14ac:dyDescent="0.3">
      <c r="B8" s="33" t="s">
        <v>33</v>
      </c>
      <c r="C8" s="56">
        <v>23152.19</v>
      </c>
    </row>
    <row r="9" spans="2:8" ht="15.75" thickBot="1" x14ac:dyDescent="0.3">
      <c r="B9" s="33" t="s">
        <v>34</v>
      </c>
      <c r="C9" s="56">
        <v>25928.89</v>
      </c>
      <c r="D9" s="55">
        <f>C9/2</f>
        <v>12964.445</v>
      </c>
      <c r="E9" s="61">
        <v>9605.36</v>
      </c>
      <c r="F9" s="61">
        <v>3359.08</v>
      </c>
      <c r="G9" s="61">
        <f>E9+F9</f>
        <v>12964.44</v>
      </c>
      <c r="H9" s="60">
        <f>E9/D9</f>
        <v>0.74090020822333702</v>
      </c>
    </row>
    <row r="10" spans="2:8" ht="15.75" thickBot="1" x14ac:dyDescent="0.3">
      <c r="B10" s="33" t="s">
        <v>35</v>
      </c>
      <c r="C10" s="56">
        <v>29032.69</v>
      </c>
    </row>
    <row r="11" spans="2:8" ht="15.75" thickBot="1" x14ac:dyDescent="0.3">
      <c r="B11" s="33" t="s">
        <v>36</v>
      </c>
      <c r="C11" s="56">
        <v>32495.23</v>
      </c>
    </row>
    <row r="12" spans="2:8" ht="16.5" thickBot="1" x14ac:dyDescent="0.3">
      <c r="B12" s="30" t="s">
        <v>50</v>
      </c>
      <c r="C12" s="31"/>
    </row>
    <row r="13" spans="2:8" ht="15.75" thickBot="1" x14ac:dyDescent="0.3">
      <c r="B13" s="32" t="s">
        <v>30</v>
      </c>
      <c r="C13" s="56">
        <v>8223.23</v>
      </c>
    </row>
    <row r="14" spans="2:8" ht="15.75" thickBot="1" x14ac:dyDescent="0.3">
      <c r="B14" s="33" t="s">
        <v>31</v>
      </c>
      <c r="C14" s="56">
        <v>9219.43</v>
      </c>
    </row>
    <row r="15" spans="2:8" ht="15.75" thickBot="1" x14ac:dyDescent="0.3">
      <c r="B15" s="33" t="s">
        <v>32</v>
      </c>
      <c r="C15" s="56">
        <v>10331.780000000001</v>
      </c>
    </row>
    <row r="16" spans="2:8" ht="15.75" thickBot="1" x14ac:dyDescent="0.3">
      <c r="B16" s="33" t="s">
        <v>33</v>
      </c>
      <c r="C16" s="56">
        <v>11576.08</v>
      </c>
    </row>
    <row r="17" spans="2:5" ht="15.75" thickBot="1" x14ac:dyDescent="0.3">
      <c r="B17" s="33" t="s">
        <v>34</v>
      </c>
      <c r="C17" s="56">
        <v>12964.45</v>
      </c>
    </row>
    <row r="18" spans="2:5" ht="15.75" thickBot="1" x14ac:dyDescent="0.3">
      <c r="B18" s="33" t="s">
        <v>35</v>
      </c>
      <c r="C18" s="56">
        <v>14516.35</v>
      </c>
    </row>
    <row r="19" spans="2:5" ht="15.75" thickBot="1" x14ac:dyDescent="0.3">
      <c r="B19" s="33" t="s">
        <v>36</v>
      </c>
      <c r="C19" s="56">
        <v>16247.62</v>
      </c>
    </row>
    <row r="20" spans="2:5" ht="16.5" thickBot="1" x14ac:dyDescent="0.3">
      <c r="B20" s="30" t="s">
        <v>51</v>
      </c>
      <c r="C20" s="31"/>
    </row>
    <row r="21" spans="2:5" ht="15.75" thickBot="1" x14ac:dyDescent="0.3">
      <c r="B21" s="32" t="s">
        <v>37</v>
      </c>
      <c r="C21" s="56">
        <v>13996.23</v>
      </c>
    </row>
    <row r="22" spans="2:5" ht="15.75" thickBot="1" x14ac:dyDescent="0.3">
      <c r="B22" s="33" t="s">
        <v>38</v>
      </c>
      <c r="C22" s="56">
        <v>15675.17</v>
      </c>
    </row>
    <row r="23" spans="2:5" ht="15.75" thickBot="1" x14ac:dyDescent="0.3">
      <c r="B23" s="33" t="s">
        <v>39</v>
      </c>
      <c r="C23" s="56">
        <v>17557.900000000001</v>
      </c>
    </row>
    <row r="24" spans="2:5" ht="15.75" thickBot="1" x14ac:dyDescent="0.3">
      <c r="B24" s="33" t="s">
        <v>40</v>
      </c>
      <c r="C24" s="56">
        <v>19663.650000000001</v>
      </c>
    </row>
    <row r="25" spans="2:5" ht="15.75" thickBot="1" x14ac:dyDescent="0.3">
      <c r="B25" s="33" t="s">
        <v>41</v>
      </c>
      <c r="C25" s="56">
        <v>22024.05</v>
      </c>
    </row>
    <row r="26" spans="2:5" ht="15.75" thickBot="1" x14ac:dyDescent="0.3">
      <c r="B26" s="57" t="s">
        <v>42</v>
      </c>
      <c r="C26" s="56">
        <v>24667.119999999999</v>
      </c>
    </row>
    <row r="27" spans="2:5" ht="16.5" thickBot="1" x14ac:dyDescent="0.3">
      <c r="B27" s="30" t="s">
        <v>52</v>
      </c>
      <c r="C27" s="31"/>
    </row>
    <row r="28" spans="2:5" ht="15.75" thickBot="1" x14ac:dyDescent="0.3">
      <c r="B28" s="32" t="s">
        <v>43</v>
      </c>
      <c r="C28" s="56">
        <v>421.43</v>
      </c>
    </row>
    <row r="29" spans="2:5" ht="15.75" thickBot="1" x14ac:dyDescent="0.3">
      <c r="B29" s="33" t="s">
        <v>44</v>
      </c>
      <c r="C29" s="56">
        <v>489.58</v>
      </c>
    </row>
    <row r="30" spans="2:5" ht="15.75" thickBot="1" x14ac:dyDescent="0.3">
      <c r="B30" s="33" t="s">
        <v>45</v>
      </c>
      <c r="C30" s="56">
        <v>529.51</v>
      </c>
      <c r="D30">
        <v>4</v>
      </c>
      <c r="E30" s="13">
        <f>C30*D30</f>
        <v>2118.04</v>
      </c>
    </row>
    <row r="31" spans="2:5" ht="15.75" thickBot="1" x14ac:dyDescent="0.3">
      <c r="B31" s="33" t="s">
        <v>46</v>
      </c>
      <c r="C31" s="56">
        <v>648.22</v>
      </c>
    </row>
    <row r="32" spans="2:5" ht="15.75" thickBot="1" x14ac:dyDescent="0.3">
      <c r="B32" s="33" t="s">
        <v>47</v>
      </c>
      <c r="C32" s="56">
        <v>812.38</v>
      </c>
      <c r="D32" s="13">
        <f>C32*25</f>
        <v>20309.5</v>
      </c>
    </row>
    <row r="33" spans="2:3" ht="15.75" thickBot="1" x14ac:dyDescent="0.3">
      <c r="B33" s="33" t="s">
        <v>48</v>
      </c>
      <c r="C33" s="56">
        <v>1233.48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G13"/>
  <sheetViews>
    <sheetView workbookViewId="0">
      <selection activeCell="E10" sqref="E10"/>
    </sheetView>
  </sheetViews>
  <sheetFormatPr baseColWidth="10" defaultRowHeight="15" x14ac:dyDescent="0.25"/>
  <sheetData>
    <row r="2" spans="2:7" ht="18" x14ac:dyDescent="0.25">
      <c r="B2" s="80" t="s">
        <v>91</v>
      </c>
      <c r="C2" s="80"/>
      <c r="D2" s="80"/>
      <c r="E2" s="80"/>
      <c r="F2" s="80"/>
      <c r="G2" s="80"/>
    </row>
    <row r="3" spans="2:7" ht="18.75" thickBot="1" x14ac:dyDescent="0.3">
      <c r="B3" s="36" t="s">
        <v>90</v>
      </c>
      <c r="C3" s="37" t="s">
        <v>71</v>
      </c>
      <c r="D3" s="37" t="s">
        <v>90</v>
      </c>
      <c r="E3" s="37" t="s">
        <v>71</v>
      </c>
      <c r="F3" s="37" t="s">
        <v>90</v>
      </c>
      <c r="G3" s="37" t="s">
        <v>71</v>
      </c>
    </row>
    <row r="4" spans="2:7" ht="18.75" thickBot="1" x14ac:dyDescent="0.3">
      <c r="B4" s="34"/>
      <c r="C4" s="35"/>
      <c r="D4" s="35">
        <v>11</v>
      </c>
      <c r="E4" s="35">
        <v>16.5</v>
      </c>
      <c r="F4" s="35">
        <v>21</v>
      </c>
      <c r="G4" s="35">
        <v>32</v>
      </c>
    </row>
    <row r="5" spans="2:7" ht="18.75" thickBot="1" x14ac:dyDescent="0.3">
      <c r="B5" s="34">
        <v>2</v>
      </c>
      <c r="C5" s="35">
        <v>3</v>
      </c>
      <c r="D5" s="35">
        <v>12</v>
      </c>
      <c r="E5" s="35">
        <v>18</v>
      </c>
      <c r="F5" s="35">
        <v>22</v>
      </c>
      <c r="G5" s="35">
        <v>34</v>
      </c>
    </row>
    <row r="6" spans="2:7" ht="18.75" thickBot="1" x14ac:dyDescent="0.3">
      <c r="B6" s="34">
        <v>3</v>
      </c>
      <c r="C6" s="35">
        <v>4.5</v>
      </c>
      <c r="D6" s="35">
        <v>13</v>
      </c>
      <c r="E6" s="35">
        <v>19.5</v>
      </c>
      <c r="F6" s="35">
        <v>23</v>
      </c>
      <c r="G6" s="35">
        <v>36</v>
      </c>
    </row>
    <row r="7" spans="2:7" ht="18.75" thickBot="1" x14ac:dyDescent="0.3">
      <c r="B7" s="34">
        <v>4</v>
      </c>
      <c r="C7" s="35">
        <v>6</v>
      </c>
      <c r="D7" s="35">
        <v>14</v>
      </c>
      <c r="E7" s="35">
        <v>21</v>
      </c>
      <c r="F7" s="35">
        <v>24</v>
      </c>
      <c r="G7" s="35">
        <v>38</v>
      </c>
    </row>
    <row r="8" spans="2:7" ht="18.75" thickBot="1" x14ac:dyDescent="0.3">
      <c r="B8" s="34">
        <v>5</v>
      </c>
      <c r="C8" s="35">
        <v>7.5</v>
      </c>
      <c r="D8" s="35">
        <v>15</v>
      </c>
      <c r="E8" s="35">
        <v>22.5</v>
      </c>
      <c r="F8" s="35">
        <v>25</v>
      </c>
      <c r="G8" s="35">
        <v>40</v>
      </c>
    </row>
    <row r="9" spans="2:7" ht="18.75" thickBot="1" x14ac:dyDescent="0.3">
      <c r="B9" s="34">
        <v>6</v>
      </c>
      <c r="C9" s="35">
        <v>9</v>
      </c>
      <c r="D9" s="35">
        <v>16</v>
      </c>
      <c r="E9" s="35">
        <v>24</v>
      </c>
      <c r="F9" s="35">
        <v>26</v>
      </c>
      <c r="G9" s="35">
        <v>42</v>
      </c>
    </row>
    <row r="10" spans="2:7" ht="18.75" thickBot="1" x14ac:dyDescent="0.3">
      <c r="B10" s="34">
        <v>7</v>
      </c>
      <c r="C10" s="35">
        <v>10.5</v>
      </c>
      <c r="D10" s="35">
        <v>17</v>
      </c>
      <c r="E10" s="35">
        <v>25.5</v>
      </c>
      <c r="F10" s="35">
        <v>27</v>
      </c>
      <c r="G10" s="35">
        <v>44</v>
      </c>
    </row>
    <row r="11" spans="2:7" ht="18.75" thickBot="1" x14ac:dyDescent="0.3">
      <c r="B11" s="34">
        <v>8</v>
      </c>
      <c r="C11" s="35">
        <v>12</v>
      </c>
      <c r="D11" s="35">
        <v>18</v>
      </c>
      <c r="E11" s="35">
        <v>27</v>
      </c>
      <c r="F11" s="35">
        <v>28</v>
      </c>
      <c r="G11" s="35">
        <v>46</v>
      </c>
    </row>
    <row r="12" spans="2:7" ht="18.75" thickBot="1" x14ac:dyDescent="0.3">
      <c r="B12" s="34">
        <v>9</v>
      </c>
      <c r="C12" s="35">
        <v>13.5</v>
      </c>
      <c r="D12" s="35">
        <v>19</v>
      </c>
      <c r="E12" s="35">
        <v>28.5</v>
      </c>
      <c r="F12" s="35">
        <v>29</v>
      </c>
      <c r="G12" s="35">
        <v>48</v>
      </c>
    </row>
    <row r="13" spans="2:7" ht="18.75" thickBot="1" x14ac:dyDescent="0.3">
      <c r="B13" s="34">
        <v>10</v>
      </c>
      <c r="C13" s="35">
        <v>15</v>
      </c>
      <c r="D13" s="35">
        <v>20</v>
      </c>
      <c r="E13" s="35">
        <v>30</v>
      </c>
      <c r="F13" s="35">
        <v>30</v>
      </c>
      <c r="G13" s="35">
        <v>50</v>
      </c>
    </row>
  </sheetData>
  <mergeCells count="1">
    <mergeCell ref="B2:G2"/>
  </mergeCells>
  <pageMargins left="0.7" right="0.7" top="0.75" bottom="0.75" header="0.3" footer="0.3"/>
  <pageSetup orientation="portrait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J15"/>
  <sheetViews>
    <sheetView topLeftCell="A4" workbookViewId="0">
      <selection activeCell="I9" sqref="I9"/>
    </sheetView>
  </sheetViews>
  <sheetFormatPr baseColWidth="10" defaultRowHeight="15" x14ac:dyDescent="0.25"/>
  <cols>
    <col min="2" max="2" width="16.5703125" customWidth="1"/>
    <col min="3" max="3" width="16.7109375" customWidth="1"/>
    <col min="4" max="4" width="17.42578125" customWidth="1"/>
    <col min="5" max="5" width="18.5703125" customWidth="1"/>
    <col min="6" max="6" width="14.28515625" customWidth="1"/>
    <col min="7" max="8" width="14.5703125" bestFit="1" customWidth="1"/>
    <col min="9" max="9" width="13.85546875" bestFit="1" customWidth="1"/>
    <col min="10" max="10" width="49.85546875" customWidth="1"/>
  </cols>
  <sheetData>
    <row r="2" spans="2:10" ht="18" x14ac:dyDescent="0.25">
      <c r="B2" s="81" t="s">
        <v>73</v>
      </c>
      <c r="C2" s="81"/>
      <c r="D2" s="81"/>
      <c r="E2" s="81"/>
    </row>
    <row r="3" spans="2:10" ht="126.75" thickBot="1" x14ac:dyDescent="0.3">
      <c r="B3" s="19" t="s">
        <v>66</v>
      </c>
      <c r="C3" s="20" t="s">
        <v>67</v>
      </c>
      <c r="D3" s="20" t="s">
        <v>68</v>
      </c>
      <c r="E3" s="20" t="s">
        <v>69</v>
      </c>
      <c r="G3" s="2"/>
    </row>
    <row r="4" spans="2:10" ht="18.75" thickBot="1" x14ac:dyDescent="0.3">
      <c r="B4" s="19" t="s">
        <v>70</v>
      </c>
      <c r="C4" s="20" t="s">
        <v>70</v>
      </c>
      <c r="D4" s="20" t="s">
        <v>70</v>
      </c>
      <c r="E4" s="20" t="s">
        <v>71</v>
      </c>
    </row>
    <row r="5" spans="2:10" ht="19.5" thickBot="1" x14ac:dyDescent="0.35">
      <c r="B5" s="21">
        <v>0.01</v>
      </c>
      <c r="C5" s="22">
        <v>318</v>
      </c>
      <c r="D5" s="22">
        <v>0</v>
      </c>
      <c r="E5" s="22">
        <v>1.92</v>
      </c>
      <c r="G5" s="50"/>
      <c r="H5" s="50"/>
    </row>
    <row r="6" spans="2:10" ht="18.75" thickBot="1" x14ac:dyDescent="0.3">
      <c r="B6" s="21">
        <v>318.01</v>
      </c>
      <c r="C6" s="23">
        <v>2699.4</v>
      </c>
      <c r="D6" s="22">
        <v>6.15</v>
      </c>
      <c r="E6" s="22">
        <v>6.4</v>
      </c>
    </row>
    <row r="7" spans="2:10" ht="18.75" thickBot="1" x14ac:dyDescent="0.3">
      <c r="B7" s="24">
        <v>2699.41</v>
      </c>
      <c r="C7" s="23">
        <v>4744.05</v>
      </c>
      <c r="D7" s="22">
        <v>158.55000000000001</v>
      </c>
      <c r="E7" s="22">
        <v>10.88</v>
      </c>
    </row>
    <row r="8" spans="2:10" ht="18.75" thickBot="1" x14ac:dyDescent="0.3">
      <c r="B8" s="24">
        <v>4744.0600000000004</v>
      </c>
      <c r="C8" s="22">
        <v>5514.75</v>
      </c>
      <c r="D8" s="22">
        <v>381</v>
      </c>
      <c r="E8" s="22">
        <v>16</v>
      </c>
    </row>
    <row r="9" spans="2:10" ht="18.75" thickBot="1" x14ac:dyDescent="0.3">
      <c r="B9" s="24">
        <v>5514.76</v>
      </c>
      <c r="C9" s="23">
        <v>6602.7</v>
      </c>
      <c r="D9" s="22">
        <v>504.3</v>
      </c>
      <c r="E9" s="73">
        <v>17.920000000000002</v>
      </c>
      <c r="F9" s="74">
        <v>6165.415</v>
      </c>
      <c r="G9" s="74">
        <f>F9-B9</f>
        <v>650.65499999999975</v>
      </c>
      <c r="H9" s="74">
        <f>G9*E9/100</f>
        <v>116.59737599999997</v>
      </c>
      <c r="I9" s="74">
        <f>D9+H9</f>
        <v>620.89737600000001</v>
      </c>
      <c r="J9" s="75" t="s">
        <v>118</v>
      </c>
    </row>
    <row r="10" spans="2:10" ht="18.75" thickBot="1" x14ac:dyDescent="0.3">
      <c r="B10" s="24">
        <v>6602.71</v>
      </c>
      <c r="C10" s="23">
        <v>13316.7</v>
      </c>
      <c r="D10" s="22">
        <v>699.3</v>
      </c>
      <c r="E10" s="73">
        <v>21.36</v>
      </c>
      <c r="F10" s="76">
        <v>9008.5393249999997</v>
      </c>
      <c r="G10" s="77">
        <f>F10-B10</f>
        <v>2405.8293249999997</v>
      </c>
      <c r="H10" s="77">
        <f>G10*E10/100</f>
        <v>513.88514381999994</v>
      </c>
      <c r="I10" s="77">
        <f>D10+H10</f>
        <v>1213.1851438199999</v>
      </c>
      <c r="J10" s="78" t="s">
        <v>119</v>
      </c>
    </row>
    <row r="11" spans="2:10" ht="18.75" thickBot="1" x14ac:dyDescent="0.3">
      <c r="B11" s="24">
        <v>13316.71</v>
      </c>
      <c r="C11" s="23">
        <v>20988.9</v>
      </c>
      <c r="D11" s="23">
        <v>2133.3000000000002</v>
      </c>
      <c r="E11" s="22">
        <v>23.52</v>
      </c>
    </row>
    <row r="12" spans="2:10" ht="18.75" thickBot="1" x14ac:dyDescent="0.3">
      <c r="B12" s="24">
        <v>20988.91</v>
      </c>
      <c r="C12" s="23">
        <v>40071.300000000003</v>
      </c>
      <c r="D12" s="23">
        <v>3937.8</v>
      </c>
      <c r="E12" s="22">
        <v>30</v>
      </c>
    </row>
    <row r="13" spans="2:10" ht="18.75" thickBot="1" x14ac:dyDescent="0.3">
      <c r="B13" s="24">
        <v>40071.31</v>
      </c>
      <c r="C13" s="23">
        <v>53428.5</v>
      </c>
      <c r="D13" s="23">
        <v>9662.5499999999993</v>
      </c>
      <c r="E13" s="22">
        <v>32</v>
      </c>
    </row>
    <row r="14" spans="2:10" ht="18.75" thickBot="1" x14ac:dyDescent="0.3">
      <c r="B14" s="24">
        <v>53428.51</v>
      </c>
      <c r="C14" s="23">
        <v>160285.35</v>
      </c>
      <c r="D14" s="23">
        <v>13936.8</v>
      </c>
      <c r="E14" s="22">
        <v>34</v>
      </c>
    </row>
    <row r="15" spans="2:10" ht="18.75" thickBot="1" x14ac:dyDescent="0.3">
      <c r="B15" s="25">
        <v>160285.31</v>
      </c>
      <c r="C15" s="26" t="s">
        <v>72</v>
      </c>
      <c r="D15" s="27">
        <v>50268.15</v>
      </c>
      <c r="E15" s="22">
        <v>35</v>
      </c>
    </row>
  </sheetData>
  <mergeCells count="1">
    <mergeCell ref="B2: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6:C24"/>
  <sheetViews>
    <sheetView workbookViewId="0">
      <selection activeCell="B17" sqref="B17"/>
    </sheetView>
  </sheetViews>
  <sheetFormatPr baseColWidth="10" defaultRowHeight="15" x14ac:dyDescent="0.25"/>
  <cols>
    <col min="1" max="1" width="6.42578125" customWidth="1"/>
    <col min="2" max="2" width="35.7109375" customWidth="1"/>
    <col min="3" max="3" width="23.5703125" customWidth="1"/>
  </cols>
  <sheetData>
    <row r="6" spans="2:3" ht="18" x14ac:dyDescent="0.25">
      <c r="B6" s="3" t="s">
        <v>100</v>
      </c>
      <c r="C6" s="3"/>
    </row>
    <row r="7" spans="2:3" ht="18" x14ac:dyDescent="0.25">
      <c r="B7" s="9" t="s">
        <v>94</v>
      </c>
      <c r="C7" s="16">
        <v>33469054.18</v>
      </c>
    </row>
    <row r="8" spans="2:3" ht="18" x14ac:dyDescent="0.25">
      <c r="B8" s="9" t="s">
        <v>95</v>
      </c>
      <c r="C8" s="9">
        <v>2217</v>
      </c>
    </row>
    <row r="9" spans="2:3" ht="18" x14ac:dyDescent="0.25">
      <c r="B9" s="9"/>
      <c r="C9" s="9"/>
    </row>
    <row r="10" spans="2:3" ht="18" x14ac:dyDescent="0.25">
      <c r="B10" s="9" t="s">
        <v>96</v>
      </c>
      <c r="C10" s="17">
        <f>C7*0.7</f>
        <v>23428337.925999999</v>
      </c>
    </row>
    <row r="11" spans="2:3" ht="18" x14ac:dyDescent="0.25">
      <c r="B11" s="9" t="s">
        <v>97</v>
      </c>
      <c r="C11" s="17">
        <f>C7*0.3</f>
        <v>10040716.253999999</v>
      </c>
    </row>
    <row r="12" spans="2:3" ht="18" x14ac:dyDescent="0.25">
      <c r="B12" s="9" t="s">
        <v>98</v>
      </c>
      <c r="C12" s="17">
        <f>C11/C8</f>
        <v>4528.9653829499321</v>
      </c>
    </row>
    <row r="13" spans="2:3" ht="18" x14ac:dyDescent="0.25">
      <c r="B13" s="9" t="s">
        <v>117</v>
      </c>
      <c r="C13" s="18">
        <f>C12/12</f>
        <v>377.41378191249436</v>
      </c>
    </row>
    <row r="14" spans="2:3" ht="18" x14ac:dyDescent="0.25">
      <c r="B14" s="9" t="s">
        <v>99</v>
      </c>
      <c r="C14" s="62">
        <f>C13/2</f>
        <v>188.70689095624718</v>
      </c>
    </row>
    <row r="22" spans="3:3" x14ac:dyDescent="0.25">
      <c r="C22" s="13"/>
    </row>
    <row r="23" spans="3:3" x14ac:dyDescent="0.25">
      <c r="C23" s="13"/>
    </row>
    <row r="24" spans="3:3" x14ac:dyDescent="0.25">
      <c r="C24" s="13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2:G8"/>
  <sheetViews>
    <sheetView workbookViewId="0">
      <selection activeCell="C8" sqref="C8"/>
    </sheetView>
  </sheetViews>
  <sheetFormatPr baseColWidth="10" defaultRowHeight="15" x14ac:dyDescent="0.25"/>
  <cols>
    <col min="2" max="2" width="92.140625" customWidth="1"/>
    <col min="3" max="3" width="23.28515625" customWidth="1"/>
    <col min="4" max="4" width="12.7109375" bestFit="1" customWidth="1"/>
  </cols>
  <sheetData>
    <row r="2" spans="2:7" ht="18" x14ac:dyDescent="0.25">
      <c r="B2" s="82" t="s">
        <v>107</v>
      </c>
      <c r="C2" s="82"/>
    </row>
    <row r="3" spans="2:7" ht="17.25" customHeight="1" x14ac:dyDescent="0.25">
      <c r="B3" s="38" t="s">
        <v>101</v>
      </c>
      <c r="C3" s="39">
        <v>51354592</v>
      </c>
    </row>
    <row r="4" spans="2:7" ht="17.25" customHeight="1" x14ac:dyDescent="0.25">
      <c r="B4" s="38" t="s">
        <v>102</v>
      </c>
      <c r="C4" s="39">
        <v>17712324.859999999</v>
      </c>
    </row>
    <row r="5" spans="2:7" ht="15.75" customHeight="1" x14ac:dyDescent="0.25">
      <c r="B5" s="38" t="s">
        <v>103</v>
      </c>
      <c r="C5" s="40">
        <f>C3-C4</f>
        <v>33642267.140000001</v>
      </c>
    </row>
    <row r="6" spans="2:7" ht="18" x14ac:dyDescent="0.25">
      <c r="B6" s="38" t="s">
        <v>104</v>
      </c>
      <c r="C6" s="15">
        <v>1511</v>
      </c>
    </row>
    <row r="7" spans="2:7" ht="16.5" customHeight="1" x14ac:dyDescent="0.25">
      <c r="B7" s="38" t="s">
        <v>105</v>
      </c>
      <c r="C7" s="40">
        <f>C5/C6</f>
        <v>22264.902144275315</v>
      </c>
    </row>
    <row r="8" spans="2:7" ht="15.75" customHeight="1" x14ac:dyDescent="0.35">
      <c r="B8" s="38" t="s">
        <v>106</v>
      </c>
      <c r="C8" s="18">
        <f>C7/12</f>
        <v>1855.4085120229429</v>
      </c>
      <c r="D8" s="54">
        <f>C8/2</f>
        <v>927.70425601147144</v>
      </c>
      <c r="G8" s="13"/>
    </row>
  </sheetData>
  <mergeCells count="1">
    <mergeCell ref="B2:C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 SAL INT PA</vt:lpstr>
      <vt:lpstr>SAL INT TC</vt:lpstr>
      <vt:lpstr>TABUL</vt:lpstr>
      <vt:lpstr>ANTIG</vt:lpstr>
      <vt:lpstr>ISR</vt:lpstr>
      <vt:lpstr>SEG VIDA</vt:lpstr>
      <vt:lpstr>SGMM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Martínez</dc:creator>
  <cp:lastModifiedBy>Diseño</cp:lastModifiedBy>
  <dcterms:created xsi:type="dcterms:W3CDTF">2022-01-20T02:05:27Z</dcterms:created>
  <dcterms:modified xsi:type="dcterms:W3CDTF">2022-06-08T16:19:18Z</dcterms:modified>
</cp:coreProperties>
</file>